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Schemionek\Downloads\"/>
    </mc:Choice>
  </mc:AlternateContent>
  <xr:revisionPtr revIDLastSave="0" documentId="8_{A6A5D28C-0E4A-4D75-9111-67409EDB5044}" xr6:coauthVersionLast="47" xr6:coauthVersionMax="47" xr10:uidLastSave="{00000000-0000-0000-0000-000000000000}"/>
  <bookViews>
    <workbookView xWindow="-120" yWindow="-120" windowWidth="38640" windowHeight="21240" xr2:uid="{09F7B228-3533-4ABF-AB3B-C83662D1C55E}"/>
  </bookViews>
  <sheets>
    <sheet name="Kreisprofil mit TWR" sheetId="1" r:id="rId1"/>
  </sheets>
  <definedNames>
    <definedName name="_xlnm.Print_Area" localSheetId="0">'Kreisprofil mit TWR'!$A$1:$O$67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K22" i="1"/>
  <c r="B55" i="1" s="1"/>
  <c r="K29" i="1"/>
  <c r="K27" i="1"/>
  <c r="K28" i="1" s="1"/>
  <c r="K30" i="1"/>
  <c r="K23" i="1"/>
  <c r="K24" i="1" s="1"/>
  <c r="O43" i="1" s="1"/>
  <c r="K32" i="1"/>
  <c r="K35" i="1"/>
  <c r="I65" i="1"/>
  <c r="I62" i="1"/>
  <c r="I59" i="1"/>
  <c r="A65" i="1"/>
  <c r="A62" i="1"/>
  <c r="A59" i="1"/>
  <c r="B25" i="1"/>
  <c r="B24" i="1"/>
  <c r="I51" i="1"/>
  <c r="I50" i="1"/>
  <c r="H27" i="1"/>
  <c r="H22" i="1"/>
  <c r="H29" i="1"/>
  <c r="H23" i="1"/>
  <c r="H28" i="1"/>
  <c r="D25" i="1" s="1"/>
  <c r="H30" i="1"/>
  <c r="H32" i="1"/>
  <c r="H35" i="1"/>
  <c r="H34" i="1"/>
  <c r="G27" i="1"/>
  <c r="G22" i="1"/>
  <c r="G29" i="1"/>
  <c r="G23" i="1"/>
  <c r="G28" i="1"/>
  <c r="G30" i="1"/>
  <c r="G32" i="1"/>
  <c r="G35" i="1"/>
  <c r="G34" i="1"/>
  <c r="K34" i="1"/>
  <c r="H24" i="1"/>
  <c r="G24" i="1"/>
  <c r="D65" i="1"/>
  <c r="D62" i="1"/>
  <c r="D59" i="1"/>
  <c r="E59" i="1" s="1"/>
  <c r="C65" i="1"/>
  <c r="E65" i="1" s="1"/>
  <c r="C62" i="1"/>
  <c r="E62" i="1" s="1"/>
  <c r="C59" i="1"/>
  <c r="B30" i="1"/>
  <c r="B31" i="1"/>
  <c r="B33" i="1"/>
  <c r="B34" i="1" s="1"/>
  <c r="C24" i="1"/>
  <c r="F25" i="1"/>
  <c r="D24" i="1"/>
  <c r="E24" i="1"/>
  <c r="F24" i="1"/>
  <c r="O50" i="1"/>
  <c r="O53" i="1"/>
  <c r="O56" i="1"/>
  <c r="A56" i="1"/>
  <c r="K59" i="1"/>
  <c r="K62" i="1"/>
  <c r="K65" i="1"/>
  <c r="I49" i="1"/>
  <c r="I48" i="1"/>
  <c r="I47" i="1"/>
  <c r="I46" i="1"/>
  <c r="I45" i="1"/>
  <c r="I44" i="1"/>
  <c r="I43" i="1"/>
  <c r="I42" i="1"/>
  <c r="F59" i="1" l="1"/>
  <c r="L59" i="1"/>
  <c r="L62" i="1"/>
  <c r="F62" i="1"/>
  <c r="B49" i="1"/>
  <c r="B43" i="1"/>
  <c r="B51" i="1"/>
  <c r="F55" i="1"/>
  <c r="I55" i="1"/>
  <c r="B52" i="1"/>
  <c r="B48" i="1"/>
  <c r="B42" i="1"/>
  <c r="C55" i="1"/>
  <c r="E55" i="1" s="1"/>
  <c r="L55" i="1" s="1"/>
  <c r="B46" i="1"/>
  <c r="A55" i="1"/>
  <c r="B47" i="1"/>
  <c r="B41" i="1"/>
  <c r="B54" i="1"/>
  <c r="B50" i="1"/>
  <c r="B45" i="1"/>
  <c r="D55" i="1"/>
  <c r="B53" i="1"/>
  <c r="B44" i="1"/>
  <c r="L65" i="1"/>
  <c r="F65" i="1"/>
  <c r="C25" i="1"/>
  <c r="E25" i="1" s="1"/>
  <c r="G65" i="1" l="1"/>
  <c r="H65" i="1" s="1"/>
  <c r="J65" i="1"/>
  <c r="C50" i="1"/>
  <c r="A50" i="1"/>
  <c r="D50" i="1"/>
  <c r="F50" i="1"/>
  <c r="F51" i="1"/>
  <c r="D51" i="1"/>
  <c r="C51" i="1"/>
  <c r="E51" i="1" s="1"/>
  <c r="L51" i="1" s="1"/>
  <c r="A51" i="1"/>
  <c r="C54" i="1"/>
  <c r="E54" i="1" s="1"/>
  <c r="L54" i="1" s="1"/>
  <c r="A54" i="1"/>
  <c r="D54" i="1"/>
  <c r="F54" i="1"/>
  <c r="I54" i="1"/>
  <c r="D42" i="1"/>
  <c r="C42" i="1"/>
  <c r="E42" i="1" s="1"/>
  <c r="L42" i="1" s="1"/>
  <c r="A42" i="1"/>
  <c r="F42" i="1"/>
  <c r="C43" i="1"/>
  <c r="A43" i="1"/>
  <c r="F43" i="1"/>
  <c r="D43" i="1"/>
  <c r="C44" i="1"/>
  <c r="E44" i="1" s="1"/>
  <c r="L44" i="1" s="1"/>
  <c r="D44" i="1"/>
  <c r="A44" i="1"/>
  <c r="F44" i="1"/>
  <c r="D41" i="1"/>
  <c r="F41" i="1"/>
  <c r="I41" i="1"/>
  <c r="C41" i="1"/>
  <c r="C48" i="1"/>
  <c r="D48" i="1"/>
  <c r="A48" i="1"/>
  <c r="F48" i="1"/>
  <c r="A49" i="1"/>
  <c r="C49" i="1"/>
  <c r="F49" i="1"/>
  <c r="D49" i="1"/>
  <c r="D53" i="1"/>
  <c r="F53" i="1"/>
  <c r="C53" i="1"/>
  <c r="E53" i="1" s="1"/>
  <c r="L53" i="1" s="1"/>
  <c r="I53" i="1"/>
  <c r="D47" i="1"/>
  <c r="F47" i="1"/>
  <c r="C47" i="1"/>
  <c r="E47" i="1" s="1"/>
  <c r="L47" i="1" s="1"/>
  <c r="A52" i="1"/>
  <c r="C52" i="1"/>
  <c r="E52" i="1" s="1"/>
  <c r="L52" i="1" s="1"/>
  <c r="D52" i="1"/>
  <c r="F52" i="1"/>
  <c r="I52" i="1"/>
  <c r="A47" i="1"/>
  <c r="G62" i="1"/>
  <c r="H62" i="1" s="1"/>
  <c r="J62" i="1"/>
  <c r="A53" i="1"/>
  <c r="F45" i="1"/>
  <c r="D45" i="1"/>
  <c r="C45" i="1"/>
  <c r="E45" i="1" s="1"/>
  <c r="L45" i="1" s="1"/>
  <c r="A45" i="1"/>
  <c r="A46" i="1"/>
  <c r="D46" i="1"/>
  <c r="F46" i="1"/>
  <c r="C46" i="1"/>
  <c r="E46" i="1" s="1"/>
  <c r="L46" i="1" s="1"/>
  <c r="G55" i="1"/>
  <c r="J55" i="1"/>
  <c r="A41" i="1"/>
  <c r="G59" i="1"/>
  <c r="H59" i="1" s="1"/>
  <c r="J59" i="1"/>
  <c r="J50" i="1" l="1"/>
  <c r="G50" i="1"/>
  <c r="J53" i="1"/>
  <c r="G53" i="1"/>
  <c r="J48" i="1"/>
  <c r="G48" i="1"/>
  <c r="J47" i="1"/>
  <c r="G47" i="1"/>
  <c r="E50" i="1"/>
  <c r="L50" i="1" s="1"/>
  <c r="J46" i="1"/>
  <c r="G46" i="1"/>
  <c r="J45" i="1"/>
  <c r="G45" i="1"/>
  <c r="J52" i="1"/>
  <c r="G52" i="1"/>
  <c r="J49" i="1"/>
  <c r="G49" i="1"/>
  <c r="E48" i="1"/>
  <c r="L48" i="1" s="1"/>
  <c r="E43" i="1"/>
  <c r="L43" i="1" s="1"/>
  <c r="G54" i="1"/>
  <c r="J54" i="1"/>
  <c r="J41" i="1"/>
  <c r="G41" i="1"/>
  <c r="K55" i="1"/>
  <c r="H55" i="1"/>
  <c r="J43" i="1"/>
  <c r="G43" i="1"/>
  <c r="J44" i="1"/>
  <c r="G44" i="1"/>
  <c r="E49" i="1"/>
  <c r="L49" i="1" s="1"/>
  <c r="E41" i="1"/>
  <c r="L41" i="1" s="1"/>
  <c r="J42" i="1"/>
  <c r="G42" i="1"/>
  <c r="J51" i="1"/>
  <c r="G51" i="1"/>
  <c r="H48" i="1" l="1"/>
  <c r="K48" i="1"/>
  <c r="H51" i="1"/>
  <c r="K51" i="1"/>
  <c r="H44" i="1"/>
  <c r="K44" i="1"/>
  <c r="H41" i="1"/>
  <c r="K41" i="1"/>
  <c r="H49" i="1"/>
  <c r="K49" i="1"/>
  <c r="H46" i="1"/>
  <c r="K46" i="1"/>
  <c r="K53" i="1"/>
  <c r="H53" i="1"/>
  <c r="H42" i="1"/>
  <c r="K42" i="1"/>
  <c r="H43" i="1"/>
  <c r="K43" i="1"/>
  <c r="H52" i="1"/>
  <c r="K52" i="1"/>
  <c r="K54" i="1"/>
  <c r="H54" i="1"/>
  <c r="H47" i="1"/>
  <c r="K47" i="1"/>
  <c r="H50" i="1"/>
  <c r="K50" i="1"/>
  <c r="H45" i="1"/>
  <c r="K45" i="1"/>
</calcChain>
</file>

<file path=xl/sharedStrings.xml><?xml version="1.0" encoding="utf-8"?>
<sst xmlns="http://schemas.openxmlformats.org/spreadsheetml/2006/main" count="131" uniqueCount="97">
  <si>
    <t>Hydraulische Berechnung</t>
  </si>
  <si>
    <t>Kreisprofil mit Trockenwetterrinne (Gerinne und Auftritt/Berme)</t>
  </si>
  <si>
    <t>Vorgaben:</t>
  </si>
  <si>
    <r>
      <t>Q</t>
    </r>
    <r>
      <rPr>
        <vertAlign val="subscript"/>
        <sz val="10"/>
        <rFont val="Arial"/>
        <family val="2"/>
      </rPr>
      <t>max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</si>
  <si>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/s</t>
    </r>
  </si>
  <si>
    <t>Maximalabfluß</t>
  </si>
  <si>
    <r>
      <t>I</t>
    </r>
    <r>
      <rPr>
        <vertAlign val="subscript"/>
        <sz val="10"/>
        <rFont val="Arial"/>
        <family val="2"/>
      </rPr>
      <t>s</t>
    </r>
  </si>
  <si>
    <r>
      <t>0</t>
    </r>
    <r>
      <rPr>
        <sz val="10"/>
        <rFont val="Arial"/>
        <family val="2"/>
      </rPr>
      <t>/</t>
    </r>
    <r>
      <rPr>
        <vertAlign val="subscript"/>
        <sz val="10"/>
        <rFont val="Arial"/>
        <family val="2"/>
      </rPr>
      <t>00</t>
    </r>
  </si>
  <si>
    <t>Sohlgefälle</t>
  </si>
  <si>
    <r>
      <t>k</t>
    </r>
    <r>
      <rPr>
        <vertAlign val="subscript"/>
        <sz val="10"/>
        <rFont val="Arial"/>
        <family val="2"/>
      </rPr>
      <t>b</t>
    </r>
  </si>
  <si>
    <t>mm</t>
  </si>
  <si>
    <t>betriebliche Rauhheit</t>
  </si>
  <si>
    <t>g</t>
  </si>
  <si>
    <r>
      <t>m/s</t>
    </r>
    <r>
      <rPr>
        <vertAlign val="superscript"/>
        <sz val="10"/>
        <rFont val="Arial"/>
        <family val="2"/>
      </rPr>
      <t>2</t>
    </r>
  </si>
  <si>
    <t>Fallbeschleunigung</t>
  </si>
  <si>
    <r>
      <t>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/s</t>
    </r>
  </si>
  <si>
    <t>kinematische Zähigkeit</t>
  </si>
  <si>
    <r>
      <t>Berechnung</t>
    </r>
    <r>
      <rPr>
        <sz val="10"/>
        <rFont val="Arial"/>
      </rPr>
      <t xml:space="preserve"> der erforderlichen Abflußquerschnittsfläche A &gt;= A</t>
    </r>
    <r>
      <rPr>
        <vertAlign val="subscript"/>
        <sz val="10"/>
        <rFont val="Arial"/>
        <family val="2"/>
      </rPr>
      <t>erf</t>
    </r>
  </si>
  <si>
    <t>Die Berechnung erfolgt iterativ:</t>
  </si>
  <si>
    <t>gewählt:</t>
  </si>
  <si>
    <t>Geometrische Vorgaben:</t>
  </si>
  <si>
    <t>DN</t>
  </si>
  <si>
    <t>A</t>
  </si>
  <si>
    <t>Radius DN/2           r =</t>
  </si>
  <si>
    <t>m</t>
  </si>
  <si>
    <r>
      <t>m</t>
    </r>
    <r>
      <rPr>
        <vertAlign val="superscript"/>
        <sz val="10"/>
        <rFont val="Arial"/>
        <family val="2"/>
      </rPr>
      <t>2</t>
    </r>
  </si>
  <si>
    <r>
      <t>Querschnittshöhe   d</t>
    </r>
    <r>
      <rPr>
        <vertAlign val="subscript"/>
        <sz val="10"/>
        <rFont val="Arial"/>
        <family val="2"/>
      </rPr>
      <t xml:space="preserve">v </t>
    </r>
    <r>
      <rPr>
        <sz val="10"/>
        <rFont val="Arial"/>
        <family val="2"/>
      </rPr>
      <t>=</t>
    </r>
  </si>
  <si>
    <t>Trockenwetterrinne:</t>
  </si>
  <si>
    <t>Gewählt:</t>
  </si>
  <si>
    <t>Nennweite</t>
  </si>
  <si>
    <r>
      <t>r</t>
    </r>
    <r>
      <rPr>
        <vertAlign val="subscript"/>
        <sz val="10"/>
        <rFont val="Arial"/>
        <family val="2"/>
      </rPr>
      <t>Ri</t>
    </r>
  </si>
  <si>
    <r>
      <t>H</t>
    </r>
    <r>
      <rPr>
        <vertAlign val="subscript"/>
        <sz val="10"/>
        <rFont val="Arial"/>
        <family val="2"/>
      </rPr>
      <t>Ri</t>
    </r>
  </si>
  <si>
    <r>
      <t>A</t>
    </r>
    <r>
      <rPr>
        <vertAlign val="subscript"/>
        <sz val="10"/>
        <rFont val="Arial"/>
        <family val="2"/>
      </rPr>
      <t>v</t>
    </r>
  </si>
  <si>
    <t>Abflußquerschnitt</t>
  </si>
  <si>
    <t>Bri</t>
  </si>
  <si>
    <r>
      <t>U</t>
    </r>
    <r>
      <rPr>
        <vertAlign val="subscript"/>
        <sz val="10"/>
        <rFont val="Arial"/>
        <family val="2"/>
      </rPr>
      <t>v</t>
    </r>
  </si>
  <si>
    <t>benetzter Umfang</t>
  </si>
  <si>
    <t>Bermenneigung:</t>
  </si>
  <si>
    <t xml:space="preserve">1 : n         =   </t>
  </si>
  <si>
    <t>1 :</t>
  </si>
  <si>
    <t>m/s</t>
  </si>
  <si>
    <t>Fließgeschwindigkeit</t>
  </si>
  <si>
    <t xml:space="preserve">Berme (Auftritt): </t>
  </si>
  <si>
    <t>Abfluß bei Vollfüllung</t>
  </si>
  <si>
    <r>
      <t>h</t>
    </r>
    <r>
      <rPr>
        <vertAlign val="subscript"/>
        <sz val="10"/>
        <rFont val="Arial"/>
        <family val="2"/>
      </rPr>
      <t>B</t>
    </r>
  </si>
  <si>
    <t>Teilfüllung</t>
  </si>
  <si>
    <t>Fließ-               tiefe</t>
  </si>
  <si>
    <t>Abfluß-querschnitt</t>
  </si>
  <si>
    <t>benetzter       Umfang</t>
  </si>
  <si>
    <t>hydr.  Radius</t>
  </si>
  <si>
    <t>Fließ-          geschwin-   digkeit</t>
  </si>
  <si>
    <t>Abfluß</t>
  </si>
  <si>
    <t>Abfluß-         verhältnis</t>
  </si>
  <si>
    <t>Wasser-    spiegel-     breite</t>
  </si>
  <si>
    <t>Foude-  Zahl</t>
  </si>
  <si>
    <t>Energie-          höhe</t>
  </si>
  <si>
    <t>Wand- schub- spannung</t>
  </si>
  <si>
    <r>
      <t>h</t>
    </r>
    <r>
      <rPr>
        <vertAlign val="subscript"/>
        <sz val="10"/>
        <rFont val="Arial"/>
        <family val="2"/>
      </rPr>
      <t>T</t>
    </r>
  </si>
  <si>
    <t xml:space="preserve">A </t>
  </si>
  <si>
    <r>
      <t>l</t>
    </r>
    <r>
      <rPr>
        <vertAlign val="subscript"/>
        <sz val="10"/>
        <rFont val="Arial"/>
        <family val="2"/>
      </rPr>
      <t>u</t>
    </r>
  </si>
  <si>
    <r>
      <t>r</t>
    </r>
    <r>
      <rPr>
        <vertAlign val="subscript"/>
        <sz val="10"/>
        <rFont val="Arial"/>
        <family val="2"/>
      </rPr>
      <t>hy</t>
    </r>
  </si>
  <si>
    <t>v</t>
  </si>
  <si>
    <t>Q</t>
  </si>
  <si>
    <r>
      <t>Q</t>
    </r>
    <r>
      <rPr>
        <vertAlign val="subscript"/>
        <sz val="10"/>
        <rFont val="Arial"/>
        <family val="2"/>
      </rPr>
      <t>t</t>
    </r>
    <r>
      <rPr>
        <sz val="10"/>
        <rFont val="Arial"/>
        <family val="2"/>
      </rPr>
      <t>/Q</t>
    </r>
    <r>
      <rPr>
        <vertAlign val="subscript"/>
        <sz val="10"/>
        <rFont val="Arial"/>
        <family val="2"/>
      </rPr>
      <t>v</t>
    </r>
  </si>
  <si>
    <r>
      <t>b</t>
    </r>
    <r>
      <rPr>
        <vertAlign val="subscript"/>
        <sz val="10"/>
        <rFont val="Arial"/>
        <family val="2"/>
      </rPr>
      <t>sp</t>
    </r>
  </si>
  <si>
    <t>Fr</t>
  </si>
  <si>
    <r>
      <t>h</t>
    </r>
    <r>
      <rPr>
        <vertAlign val="subscript"/>
        <sz val="10"/>
        <rFont val="Arial"/>
        <family val="2"/>
      </rPr>
      <t>E</t>
    </r>
  </si>
  <si>
    <t>τ</t>
  </si>
  <si>
    <t>-</t>
  </si>
  <si>
    <r>
      <t>N/m</t>
    </r>
    <r>
      <rPr>
        <vertAlign val="superscript"/>
        <sz val="10"/>
        <rFont val="Arial"/>
        <family val="2"/>
      </rPr>
      <t>2</t>
    </r>
  </si>
  <si>
    <r>
      <t>l</t>
    </r>
    <r>
      <rPr>
        <b/>
        <vertAlign val="subscript"/>
        <sz val="10"/>
        <rFont val="Arial"/>
        <family val="2"/>
      </rPr>
      <t>u</t>
    </r>
  </si>
  <si>
    <r>
      <t>r</t>
    </r>
    <r>
      <rPr>
        <b/>
        <vertAlign val="subscript"/>
        <sz val="10"/>
        <rFont val="Arial"/>
        <family val="2"/>
      </rPr>
      <t>hy</t>
    </r>
  </si>
  <si>
    <r>
      <t>v</t>
    </r>
    <r>
      <rPr>
        <b/>
        <vertAlign val="subscript"/>
        <sz val="10"/>
        <rFont val="Arial"/>
        <family val="2"/>
      </rPr>
      <t>v</t>
    </r>
  </si>
  <si>
    <r>
      <t>Q</t>
    </r>
    <r>
      <rPr>
        <b/>
        <vertAlign val="subscript"/>
        <sz val="10"/>
        <rFont val="Arial"/>
        <family val="2"/>
      </rPr>
      <t>v</t>
    </r>
  </si>
  <si>
    <r>
      <t>b</t>
    </r>
    <r>
      <rPr>
        <vertAlign val="subscript"/>
        <sz val="9"/>
        <rFont val="Arial"/>
        <family val="2"/>
      </rPr>
      <t>B</t>
    </r>
  </si>
  <si>
    <r>
      <t>Fließtiefe bei Trockenwetter (Q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>)</t>
    </r>
  </si>
  <si>
    <r>
      <t>Fließtiefe bei Trockenwetter (z.B. Q</t>
    </r>
    <r>
      <rPr>
        <b/>
        <vertAlign val="subscript"/>
        <sz val="10"/>
        <rFont val="Arial"/>
        <family val="2"/>
      </rPr>
      <t>t max</t>
    </r>
    <r>
      <rPr>
        <b/>
        <sz val="10"/>
        <rFont val="Arial"/>
        <family val="2"/>
      </rPr>
      <t>)</t>
    </r>
  </si>
  <si>
    <r>
      <t>Fließtiefe beim Bemessungsabfluß (Q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>)</t>
    </r>
  </si>
  <si>
    <r>
      <t xml:space="preserve">m </t>
    </r>
    <r>
      <rPr>
        <sz val="7"/>
        <rFont val="Arial"/>
        <family val="2"/>
      </rPr>
      <t xml:space="preserve"> </t>
    </r>
  </si>
  <si>
    <t xml:space="preserve">Bermenneigung 1 : n </t>
  </si>
  <si>
    <r>
      <t>d</t>
    </r>
    <r>
      <rPr>
        <vertAlign val="subscript"/>
        <sz val="10"/>
        <rFont val="Arial"/>
        <family val="2"/>
      </rPr>
      <t>v</t>
    </r>
  </si>
  <si>
    <r>
      <t>h</t>
    </r>
    <r>
      <rPr>
        <b/>
        <vertAlign val="subscript"/>
        <sz val="10"/>
        <rFont val="Arial"/>
        <family val="2"/>
      </rPr>
      <t>T</t>
    </r>
  </si>
  <si>
    <r>
      <t>H</t>
    </r>
    <r>
      <rPr>
        <b/>
        <vertAlign val="subscript"/>
        <sz val="10"/>
        <rFont val="Arial"/>
        <family val="2"/>
      </rPr>
      <t xml:space="preserve">Ri </t>
    </r>
    <r>
      <rPr>
        <b/>
        <sz val="10"/>
        <rFont val="Arial"/>
        <family val="2"/>
      </rPr>
      <t xml:space="preserve">     </t>
    </r>
  </si>
  <si>
    <r>
      <t>h</t>
    </r>
    <r>
      <rPr>
        <b/>
        <vertAlign val="subscript"/>
        <sz val="10"/>
        <rFont val="Arial"/>
        <family val="2"/>
      </rPr>
      <t>B</t>
    </r>
  </si>
  <si>
    <t>Nennweite Gerinne   DN</t>
  </si>
  <si>
    <t>Trockenwettergerinne</t>
  </si>
  <si>
    <t>Trockenwetterrinne (TWR):</t>
  </si>
  <si>
    <t>Profil-                 höhe</t>
  </si>
  <si>
    <t>Stand: 16. 02. 2016 / E.Va</t>
  </si>
  <si>
    <t>d</t>
  </si>
  <si>
    <t>a</t>
  </si>
  <si>
    <t>Kreisquerschnitt</t>
  </si>
  <si>
    <r>
      <t>m</t>
    </r>
    <r>
      <rPr>
        <i/>
        <vertAlign val="superscript"/>
        <sz val="10"/>
        <rFont val="Arial"/>
        <family val="2"/>
      </rPr>
      <t>2</t>
    </r>
  </si>
  <si>
    <r>
      <t>A</t>
    </r>
    <r>
      <rPr>
        <b/>
        <i/>
        <vertAlign val="subscript"/>
        <sz val="10"/>
        <rFont val="Arial"/>
        <family val="2"/>
      </rPr>
      <t>erf</t>
    </r>
  </si>
  <si>
    <r>
      <t>a</t>
    </r>
    <r>
      <rPr>
        <sz val="7"/>
        <rFont val="Arial"/>
        <family val="2"/>
      </rPr>
      <t xml:space="preserve"> (TWR-Rinne-Rohrsohle)</t>
    </r>
  </si>
  <si>
    <t xml:space="preserve">Abstand TWR-Rinne-Rohrsohle      </t>
  </si>
  <si>
    <r>
      <t>Gerinnehöhe</t>
    </r>
    <r>
      <rPr>
        <sz val="9"/>
        <rFont val="Arial"/>
        <family val="2"/>
      </rPr>
      <t xml:space="preserve"> (H</t>
    </r>
    <r>
      <rPr>
        <vertAlign val="subscript"/>
        <sz val="9"/>
        <rFont val="Arial"/>
        <family val="2"/>
      </rPr>
      <t>Ri</t>
    </r>
    <r>
      <rPr>
        <sz val="9"/>
        <rFont val="Arial"/>
        <family val="2"/>
      </rPr>
      <t>&lt;=r</t>
    </r>
    <r>
      <rPr>
        <vertAlign val="subscript"/>
        <sz val="9"/>
        <rFont val="Arial"/>
        <family val="2"/>
      </rPr>
      <t>Ri</t>
    </r>
    <r>
      <rPr>
        <sz val="9"/>
        <rFont val="Arial"/>
        <family val="2"/>
      </rPr>
      <t>&lt;=DN</t>
    </r>
    <r>
      <rPr>
        <vertAlign val="subscript"/>
        <sz val="9"/>
        <rFont val="Arial"/>
        <family val="2"/>
      </rPr>
      <t>TWR</t>
    </r>
    <r>
      <rPr>
        <sz val="9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</si>
</sst>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0.000"/>
    <numFmt numFmtId="177" formatCode="0.00000"/>
    <numFmt numFmtId="178" formatCode="0.0000"/>
    <numFmt numFmtId="181" formatCode=";;;"/>
  </numFmts>
  <fonts count="36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vertAlign val="subscript"/>
      <sz val="10"/>
      <name val="Arial"/>
      <family val="2"/>
    </font>
    <font>
      <sz val="7"/>
      <name val="Arial"/>
      <family val="2"/>
    </font>
    <font>
      <sz val="12"/>
      <name val="Arial"/>
      <family val="2"/>
    </font>
    <font>
      <vertAlign val="subscript"/>
      <sz val="9"/>
      <name val="Arial"/>
      <family val="2"/>
    </font>
    <font>
      <sz val="9"/>
      <name val="Arial"/>
      <family val="2"/>
    </font>
    <font>
      <sz val="8"/>
      <name val="Arial"/>
    </font>
    <font>
      <b/>
      <i/>
      <sz val="10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b/>
      <i/>
      <vertAlign val="subscript"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</cellStyleXfs>
  <cellXfs count="220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20" fillId="0" borderId="10" xfId="0" applyFont="1" applyBorder="1" applyAlignment="1" applyProtection="1">
      <protection hidden="1"/>
    </xf>
    <xf numFmtId="0" fontId="0" fillId="0" borderId="0" xfId="0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2" fontId="21" fillId="24" borderId="11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hidden="1"/>
    </xf>
    <xf numFmtId="0" fontId="0" fillId="0" borderId="0" xfId="0" applyFill="1" applyBorder="1" applyProtection="1">
      <protection hidden="1"/>
    </xf>
    <xf numFmtId="0" fontId="21" fillId="0" borderId="0" xfId="0" applyNumberFormat="1" applyFont="1" applyFill="1" applyBorder="1" applyAlignment="1" applyProtection="1">
      <alignment horizontal="center" vertical="center" textRotation="90"/>
      <protection hidden="1"/>
    </xf>
    <xf numFmtId="11" fontId="0" fillId="0" borderId="0" xfId="0" applyNumberFormat="1" applyBorder="1" applyAlignment="1" applyProtection="1">
      <alignment vertical="center"/>
      <protection hidden="1"/>
    </xf>
    <xf numFmtId="0" fontId="24" fillId="0" borderId="0" xfId="0" applyFont="1" applyBorder="1" applyAlignment="1" applyProtection="1">
      <alignment vertical="center"/>
      <protection hidden="1"/>
    </xf>
    <xf numFmtId="2" fontId="0" fillId="0" borderId="0" xfId="0" applyNumberFormat="1" applyFill="1" applyBorder="1" applyAlignment="1" applyProtection="1">
      <alignment horizontal="right" vertical="center"/>
      <protection hidden="1"/>
    </xf>
    <xf numFmtId="0" fontId="24" fillId="0" borderId="0" xfId="0" applyNumberFormat="1" applyFont="1" applyFill="1" applyBorder="1" applyAlignment="1" applyProtection="1">
      <alignment horizontal="left" vertical="center"/>
      <protection hidden="1"/>
    </xf>
    <xf numFmtId="0" fontId="21" fillId="0" borderId="10" xfId="0" applyFont="1" applyBorder="1" applyAlignment="1" applyProtection="1">
      <alignment horizontal="left" vertical="center"/>
      <protection hidden="1"/>
    </xf>
    <xf numFmtId="0" fontId="0" fillId="0" borderId="10" xfId="0" applyBorder="1" applyAlignment="1" applyProtection="1">
      <alignment horizontal="left" vertical="center"/>
      <protection hidden="1"/>
    </xf>
    <xf numFmtId="178" fontId="0" fillId="0" borderId="0" xfId="0" applyNumberFormat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24" fillId="0" borderId="11" xfId="0" applyFont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0" xfId="0" applyFill="1" applyBorder="1" applyAlignment="1" applyProtection="1">
      <alignment horizontal="center" vertical="center"/>
      <protection hidden="1"/>
    </xf>
    <xf numFmtId="166" fontId="21" fillId="0" borderId="0" xfId="0" applyNumberFormat="1" applyFont="1" applyBorder="1" applyAlignment="1" applyProtection="1">
      <alignment vertical="center"/>
      <protection hidden="1"/>
    </xf>
    <xf numFmtId="166" fontId="0" fillId="0" borderId="0" xfId="0" applyNumberFormat="1" applyBorder="1" applyAlignment="1" applyProtection="1">
      <alignment vertical="center"/>
      <protection hidden="1"/>
    </xf>
    <xf numFmtId="0" fontId="24" fillId="0" borderId="0" xfId="0" applyNumberFormat="1" applyFont="1" applyBorder="1" applyAlignment="1" applyProtection="1">
      <alignment horizontal="left" vertical="center"/>
      <protection hidden="1"/>
    </xf>
    <xf numFmtId="0" fontId="20" fillId="0" borderId="10" xfId="0" applyFont="1" applyBorder="1" applyAlignment="1" applyProtection="1">
      <alignment horizontal="left"/>
      <protection hidden="1"/>
    </xf>
    <xf numFmtId="1" fontId="0" fillId="0" borderId="15" xfId="0" applyNumberForma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20" fillId="0" borderId="10" xfId="0" applyFont="1" applyBorder="1" applyAlignment="1" applyProtection="1">
      <alignment horizontal="center" vertical="center"/>
      <protection hidden="1"/>
    </xf>
    <xf numFmtId="11" fontId="0" fillId="25" borderId="0" xfId="0" applyNumberFormat="1" applyFill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166" fontId="0" fillId="0" borderId="0" xfId="0" applyNumberFormat="1" applyProtection="1">
      <protection hidden="1"/>
    </xf>
    <xf numFmtId="49" fontId="0" fillId="0" borderId="0" xfId="0" applyNumberFormat="1" applyBorder="1" applyAlignment="1" applyProtection="1">
      <alignment horizontal="right" vertical="center"/>
      <protection hidden="1"/>
    </xf>
    <xf numFmtId="0" fontId="24" fillId="0" borderId="0" xfId="0" applyFont="1" applyBorder="1" applyAlignment="1" applyProtection="1">
      <alignment horizontal="left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left" vertical="center"/>
      <protection hidden="1"/>
    </xf>
    <xf numFmtId="0" fontId="0" fillId="0" borderId="10" xfId="0" applyBorder="1" applyProtection="1">
      <protection hidden="1"/>
    </xf>
    <xf numFmtId="0" fontId="0" fillId="0" borderId="11" xfId="0" applyBorder="1" applyAlignment="1" applyProtection="1">
      <alignment horizontal="center" vertical="center" wrapText="1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166" fontId="0" fillId="0" borderId="11" xfId="0" applyNumberFormat="1" applyBorder="1" applyAlignment="1" applyProtection="1">
      <alignment horizontal="center" vertical="center"/>
      <protection hidden="1"/>
    </xf>
    <xf numFmtId="166" fontId="21" fillId="0" borderId="11" xfId="0" applyNumberFormat="1" applyFont="1" applyBorder="1" applyAlignment="1" applyProtection="1">
      <alignment horizontal="center" vertical="center"/>
      <protection hidden="1"/>
    </xf>
    <xf numFmtId="166" fontId="0" fillId="0" borderId="16" xfId="0" applyNumberFormat="1" applyBorder="1" applyAlignment="1" applyProtection="1">
      <alignment horizontal="center" vertical="center"/>
      <protection hidden="1"/>
    </xf>
    <xf numFmtId="166" fontId="0" fillId="25" borderId="11" xfId="0" applyNumberFormat="1" applyFill="1" applyBorder="1" applyAlignment="1" applyProtection="1">
      <alignment horizontal="center" vertical="center"/>
      <protection hidden="1"/>
    </xf>
    <xf numFmtId="166" fontId="21" fillId="25" borderId="11" xfId="0" applyNumberFormat="1" applyFont="1" applyFill="1" applyBorder="1" applyAlignment="1" applyProtection="1">
      <alignment horizontal="center" vertical="center"/>
      <protection hidden="1"/>
    </xf>
    <xf numFmtId="2" fontId="0" fillId="25" borderId="11" xfId="0" applyNumberFormat="1" applyFill="1" applyBorder="1" applyAlignment="1" applyProtection="1">
      <alignment horizontal="center" vertical="center"/>
      <protection hidden="1"/>
    </xf>
    <xf numFmtId="166" fontId="0" fillId="25" borderId="16" xfId="0" applyNumberFormat="1" applyFill="1" applyBorder="1" applyAlignment="1" applyProtection="1">
      <alignment horizontal="center" vertical="center"/>
      <protection hidden="1"/>
    </xf>
    <xf numFmtId="166" fontId="21" fillId="25" borderId="16" xfId="0" applyNumberFormat="1" applyFont="1" applyFill="1" applyBorder="1" applyAlignment="1" applyProtection="1">
      <alignment horizontal="center" vertical="center"/>
      <protection hidden="1"/>
    </xf>
    <xf numFmtId="2" fontId="0" fillId="25" borderId="16" xfId="0" applyNumberFormat="1" applyFill="1" applyBorder="1" applyAlignment="1" applyProtection="1">
      <alignment horizontal="center" vertical="center"/>
      <protection hidden="1"/>
    </xf>
    <xf numFmtId="2" fontId="0" fillId="0" borderId="0" xfId="0" applyNumberFormat="1" applyBorder="1" applyAlignment="1" applyProtection="1">
      <alignment vertical="center"/>
      <protection hidden="1"/>
    </xf>
    <xf numFmtId="2" fontId="0" fillId="0" borderId="0" xfId="0" applyNumberFormat="1" applyBorder="1" applyAlignment="1" applyProtection="1">
      <alignment horizontal="center" vertical="center"/>
      <protection hidden="1"/>
    </xf>
    <xf numFmtId="166" fontId="0" fillId="0" borderId="0" xfId="0" applyNumberFormat="1" applyBorder="1" applyAlignment="1" applyProtection="1">
      <alignment horizontal="center" vertical="center"/>
      <protection hidden="1"/>
    </xf>
    <xf numFmtId="181" fontId="0" fillId="0" borderId="0" xfId="0" applyNumberFormat="1" applyBorder="1" applyProtection="1">
      <protection hidden="1"/>
    </xf>
    <xf numFmtId="178" fontId="0" fillId="0" borderId="0" xfId="0" applyNumberFormat="1" applyBorder="1" applyProtection="1">
      <protection hidden="1"/>
    </xf>
    <xf numFmtId="177" fontId="0" fillId="0" borderId="0" xfId="0" applyNumberFormat="1" applyBorder="1" applyProtection="1">
      <protection hidden="1"/>
    </xf>
    <xf numFmtId="178" fontId="0" fillId="0" borderId="17" xfId="0" applyNumberFormat="1" applyBorder="1" applyAlignment="1" applyProtection="1">
      <alignment vertical="center"/>
      <protection hidden="1"/>
    </xf>
    <xf numFmtId="178" fontId="0" fillId="0" borderId="18" xfId="0" applyNumberFormat="1" applyBorder="1" applyProtection="1">
      <protection hidden="1"/>
    </xf>
    <xf numFmtId="166" fontId="0" fillId="0" borderId="19" xfId="0" applyNumberFormat="1" applyBorder="1" applyAlignment="1" applyProtection="1">
      <alignment horizontal="center" vertical="center"/>
      <protection hidden="1"/>
    </xf>
    <xf numFmtId="166" fontId="21" fillId="0" borderId="19" xfId="0" applyNumberFormat="1" applyFont="1" applyBorder="1" applyAlignment="1" applyProtection="1">
      <alignment horizontal="center" vertical="center"/>
      <protection hidden="1"/>
    </xf>
    <xf numFmtId="2" fontId="0" fillId="0" borderId="19" xfId="0" applyNumberFormat="1" applyBorder="1" applyAlignment="1" applyProtection="1">
      <alignment horizontal="center" vertical="center"/>
      <protection hidden="1"/>
    </xf>
    <xf numFmtId="166" fontId="0" fillId="25" borderId="0" xfId="0" applyNumberFormat="1" applyFill="1" applyBorder="1" applyAlignment="1" applyProtection="1">
      <alignment horizontal="center" vertical="center"/>
      <protection hidden="1"/>
    </xf>
    <xf numFmtId="166" fontId="21" fillId="25" borderId="0" xfId="0" applyNumberFormat="1" applyFont="1" applyFill="1" applyBorder="1" applyAlignment="1" applyProtection="1">
      <alignment horizontal="center" vertical="center"/>
      <protection hidden="1"/>
    </xf>
    <xf numFmtId="2" fontId="0" fillId="25" borderId="0" xfId="0" applyNumberFormat="1" applyFill="1" applyBorder="1" applyAlignment="1" applyProtection="1">
      <alignment horizontal="center" vertical="center"/>
      <protection hidden="1"/>
    </xf>
    <xf numFmtId="166" fontId="0" fillId="25" borderId="20" xfId="0" applyNumberFormat="1" applyFill="1" applyBorder="1" applyAlignment="1" applyProtection="1">
      <alignment horizontal="center" vertical="center"/>
      <protection hidden="1"/>
    </xf>
    <xf numFmtId="166" fontId="21" fillId="25" borderId="20" xfId="0" applyNumberFormat="1" applyFont="1" applyFill="1" applyBorder="1" applyAlignment="1" applyProtection="1">
      <alignment horizontal="center" vertical="center"/>
      <protection hidden="1"/>
    </xf>
    <xf numFmtId="2" fontId="0" fillId="25" borderId="20" xfId="0" applyNumberFormat="1" applyFill="1" applyBorder="1" applyAlignment="1" applyProtection="1">
      <alignment horizontal="center" vertical="center"/>
      <protection hidden="1"/>
    </xf>
    <xf numFmtId="0" fontId="31" fillId="25" borderId="0" xfId="0" applyFont="1" applyFill="1" applyBorder="1" applyAlignment="1" applyProtection="1">
      <alignment vertical="center"/>
      <protection hidden="1"/>
    </xf>
    <xf numFmtId="0" fontId="0" fillId="25" borderId="0" xfId="0" applyFill="1" applyBorder="1" applyAlignment="1" applyProtection="1">
      <alignment vertical="center"/>
      <protection hidden="1"/>
    </xf>
    <xf numFmtId="177" fontId="0" fillId="0" borderId="0" xfId="0" applyNumberFormat="1" applyProtection="1"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left" vertical="center"/>
      <protection hidden="1"/>
    </xf>
    <xf numFmtId="166" fontId="0" fillId="26" borderId="22" xfId="0" applyNumberFormat="1" applyFill="1" applyBorder="1" applyAlignment="1" applyProtection="1">
      <alignment horizontal="center" vertical="center"/>
      <protection hidden="1"/>
    </xf>
    <xf numFmtId="166" fontId="24" fillId="26" borderId="22" xfId="0" applyNumberFormat="1" applyFont="1" applyFill="1" applyBorder="1" applyAlignment="1" applyProtection="1">
      <alignment horizontal="center" vertical="center"/>
      <protection hidden="1"/>
    </xf>
    <xf numFmtId="166" fontId="21" fillId="26" borderId="22" xfId="0" applyNumberFormat="1" applyFont="1" applyFill="1" applyBorder="1" applyAlignment="1" applyProtection="1">
      <alignment horizontal="center" vertical="center"/>
      <protection hidden="1"/>
    </xf>
    <xf numFmtId="2" fontId="0" fillId="26" borderId="22" xfId="0" applyNumberFormat="1" applyFill="1" applyBorder="1" applyAlignment="1" applyProtection="1">
      <alignment horizontal="center" vertical="center"/>
      <protection hidden="1"/>
    </xf>
    <xf numFmtId="166" fontId="0" fillId="26" borderId="11" xfId="0" applyNumberFormat="1" applyFill="1" applyBorder="1" applyAlignment="1" applyProtection="1">
      <alignment horizontal="center" vertical="center"/>
      <protection hidden="1"/>
    </xf>
    <xf numFmtId="166" fontId="21" fillId="26" borderId="11" xfId="0" applyNumberFormat="1" applyFont="1" applyFill="1" applyBorder="1" applyAlignment="1" applyProtection="1">
      <alignment horizontal="center" vertical="center"/>
      <protection hidden="1"/>
    </xf>
    <xf numFmtId="2" fontId="0" fillId="26" borderId="11" xfId="0" applyNumberFormat="1" applyFill="1" applyBorder="1" applyAlignment="1" applyProtection="1">
      <alignment horizontal="center" vertical="center"/>
      <protection hidden="1"/>
    </xf>
    <xf numFmtId="166" fontId="0" fillId="26" borderId="16" xfId="0" applyNumberFormat="1" applyFill="1" applyBorder="1" applyAlignment="1" applyProtection="1">
      <alignment horizontal="center" vertical="center"/>
      <protection hidden="1"/>
    </xf>
    <xf numFmtId="166" fontId="24" fillId="26" borderId="16" xfId="0" applyNumberFormat="1" applyFont="1" applyFill="1" applyBorder="1" applyAlignment="1" applyProtection="1">
      <alignment horizontal="center" vertical="center"/>
      <protection hidden="1"/>
    </xf>
    <xf numFmtId="166" fontId="21" fillId="26" borderId="16" xfId="0" applyNumberFormat="1" applyFont="1" applyFill="1" applyBorder="1" applyAlignment="1" applyProtection="1">
      <alignment horizontal="center" vertical="center"/>
      <protection hidden="1"/>
    </xf>
    <xf numFmtId="2" fontId="0" fillId="26" borderId="16" xfId="0" applyNumberFormat="1" applyFill="1" applyBorder="1" applyAlignment="1" applyProtection="1">
      <alignment horizontal="center" vertical="center"/>
      <protection hidden="1"/>
    </xf>
    <xf numFmtId="166" fontId="0" fillId="25" borderId="22" xfId="0" applyNumberFormat="1" applyFill="1" applyBorder="1" applyAlignment="1" applyProtection="1">
      <alignment horizontal="center" vertical="center"/>
      <protection hidden="1"/>
    </xf>
    <xf numFmtId="166" fontId="24" fillId="25" borderId="22" xfId="0" applyNumberFormat="1" applyFont="1" applyFill="1" applyBorder="1" applyAlignment="1" applyProtection="1">
      <alignment horizontal="center" vertical="center"/>
      <protection hidden="1"/>
    </xf>
    <xf numFmtId="166" fontId="21" fillId="25" borderId="22" xfId="0" applyNumberFormat="1" applyFont="1" applyFill="1" applyBorder="1" applyAlignment="1" applyProtection="1">
      <alignment horizontal="center" vertical="center"/>
      <protection hidden="1"/>
    </xf>
    <xf numFmtId="2" fontId="0" fillId="25" borderId="22" xfId="0" applyNumberForma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25" borderId="20" xfId="0" applyFill="1" applyBorder="1" applyAlignment="1" applyProtection="1">
      <alignment vertical="center"/>
      <protection hidden="1"/>
    </xf>
    <xf numFmtId="0" fontId="0" fillId="0" borderId="23" xfId="0" applyBorder="1" applyAlignment="1" applyProtection="1">
      <alignment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0" fillId="0" borderId="18" xfId="0" applyBorder="1" applyProtection="1">
      <protection hidden="1"/>
    </xf>
    <xf numFmtId="166" fontId="0" fillId="0" borderId="18" xfId="0" applyNumberFormat="1" applyBorder="1" applyProtection="1">
      <protection hidden="1"/>
    </xf>
    <xf numFmtId="0" fontId="0" fillId="0" borderId="20" xfId="0" applyBorder="1" applyAlignment="1" applyProtection="1">
      <alignment vertical="center"/>
      <protection hidden="1"/>
    </xf>
    <xf numFmtId="0" fontId="0" fillId="0" borderId="20" xfId="0" applyBorder="1" applyProtection="1">
      <protection hidden="1"/>
    </xf>
    <xf numFmtId="0" fontId="0" fillId="0" borderId="24" xfId="0" applyBorder="1" applyProtection="1">
      <protection hidden="1"/>
    </xf>
    <xf numFmtId="166" fontId="0" fillId="26" borderId="19" xfId="0" applyNumberFormat="1" applyFill="1" applyBorder="1" applyAlignment="1" applyProtection="1">
      <alignment horizontal="center" vertical="center"/>
      <protection hidden="1"/>
    </xf>
    <xf numFmtId="166" fontId="21" fillId="26" borderId="19" xfId="0" applyNumberFormat="1" applyFont="1" applyFill="1" applyBorder="1" applyAlignment="1" applyProtection="1">
      <alignment horizontal="center" vertical="center"/>
      <protection hidden="1"/>
    </xf>
    <xf numFmtId="2" fontId="0" fillId="26" borderId="19" xfId="0" applyNumberFormat="1" applyFill="1" applyBorder="1" applyAlignment="1" applyProtection="1">
      <alignment horizontal="center" vertical="center"/>
      <protection hidden="1"/>
    </xf>
    <xf numFmtId="49" fontId="24" fillId="0" borderId="0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right" vertical="center" textRotation="90"/>
      <protection hidden="1"/>
    </xf>
    <xf numFmtId="0" fontId="21" fillId="0" borderId="11" xfId="0" applyFont="1" applyBorder="1" applyAlignment="1" applyProtection="1">
      <alignment horizontal="center" vertical="center" wrapText="1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166" fontId="0" fillId="0" borderId="25" xfId="0" applyNumberForma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166" fontId="21" fillId="27" borderId="11" xfId="0" applyNumberFormat="1" applyFont="1" applyFill="1" applyBorder="1" applyAlignment="1" applyProtection="1">
      <alignment vertical="center"/>
      <protection locked="0"/>
    </xf>
    <xf numFmtId="0" fontId="0" fillId="24" borderId="14" xfId="0" applyFill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vertical="center"/>
      <protection hidden="1"/>
    </xf>
    <xf numFmtId="0" fontId="21" fillId="0" borderId="27" xfId="0" applyFont="1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166" fontId="21" fillId="26" borderId="27" xfId="0" applyNumberFormat="1" applyFont="1" applyFill="1" applyBorder="1" applyAlignment="1" applyProtection="1">
      <alignment horizontal="center" vertical="center"/>
      <protection hidden="1"/>
    </xf>
    <xf numFmtId="166" fontId="21" fillId="25" borderId="27" xfId="0" applyNumberFormat="1" applyFont="1" applyFill="1" applyBorder="1" applyAlignment="1" applyProtection="1">
      <alignment horizontal="center" vertical="center"/>
      <protection hidden="1"/>
    </xf>
    <xf numFmtId="166" fontId="21" fillId="24" borderId="28" xfId="0" applyNumberFormat="1" applyFont="1" applyFill="1" applyBorder="1" applyAlignment="1" applyProtection="1">
      <alignment horizontal="center" vertical="center"/>
      <protection locked="0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166" fontId="21" fillId="25" borderId="32" xfId="0" applyNumberFormat="1" applyFont="1" applyFill="1" applyBorder="1" applyAlignment="1" applyProtection="1">
      <alignment horizontal="center" vertical="center"/>
      <protection hidden="1"/>
    </xf>
    <xf numFmtId="166" fontId="21" fillId="26" borderId="32" xfId="0" applyNumberFormat="1" applyFont="1" applyFill="1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vertical="center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5" fillId="0" borderId="34" xfId="0" applyFont="1" applyBorder="1" applyAlignment="1" applyProtection="1">
      <alignment horizontal="center" vertical="center"/>
      <protection hidden="1"/>
    </xf>
    <xf numFmtId="2" fontId="0" fillId="26" borderId="34" xfId="0" applyNumberFormat="1" applyFill="1" applyBorder="1" applyAlignment="1" applyProtection="1">
      <alignment horizontal="center" vertical="center"/>
      <protection hidden="1"/>
    </xf>
    <xf numFmtId="2" fontId="0" fillId="26" borderId="35" xfId="0" applyNumberFormat="1" applyFill="1" applyBorder="1" applyAlignment="1" applyProtection="1">
      <alignment horizontal="center" vertical="center"/>
      <protection hidden="1"/>
    </xf>
    <xf numFmtId="2" fontId="0" fillId="25" borderId="36" xfId="0" applyNumberFormat="1" applyFill="1" applyBorder="1" applyAlignment="1" applyProtection="1">
      <alignment horizontal="center" vertical="center"/>
      <protection hidden="1"/>
    </xf>
    <xf numFmtId="2" fontId="0" fillId="25" borderId="34" xfId="0" applyNumberFormat="1" applyFill="1" applyBorder="1" applyAlignment="1" applyProtection="1">
      <alignment horizontal="center" vertical="center"/>
      <protection hidden="1"/>
    </xf>
    <xf numFmtId="2" fontId="0" fillId="25" borderId="35" xfId="0" applyNumberFormat="1" applyFill="1" applyBorder="1" applyAlignment="1" applyProtection="1">
      <alignment horizontal="center" vertical="center"/>
      <protection hidden="1"/>
    </xf>
    <xf numFmtId="2" fontId="0" fillId="26" borderId="36" xfId="0" applyNumberFormat="1" applyFill="1" applyBorder="1" applyAlignment="1" applyProtection="1">
      <alignment horizontal="center" vertical="center"/>
      <protection hidden="1"/>
    </xf>
    <xf numFmtId="0" fontId="0" fillId="0" borderId="37" xfId="0" applyBorder="1" applyAlignment="1" applyProtection="1">
      <alignment horizontal="center" vertical="center"/>
      <protection hidden="1"/>
    </xf>
    <xf numFmtId="0" fontId="0" fillId="0" borderId="38" xfId="0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166" fontId="0" fillId="28" borderId="39" xfId="0" applyNumberFormat="1" applyFill="1" applyBorder="1" applyAlignment="1" applyProtection="1">
      <alignment horizontal="center" vertical="center"/>
      <protection hidden="1"/>
    </xf>
    <xf numFmtId="166" fontId="0" fillId="28" borderId="40" xfId="0" applyNumberFormat="1" applyFill="1" applyBorder="1" applyAlignment="1" applyProtection="1">
      <alignment horizontal="center" vertical="center"/>
      <protection hidden="1"/>
    </xf>
    <xf numFmtId="166" fontId="24" fillId="28" borderId="40" xfId="0" applyNumberFormat="1" applyFont="1" applyFill="1" applyBorder="1" applyAlignment="1" applyProtection="1">
      <alignment horizontal="center" vertical="center"/>
      <protection hidden="1"/>
    </xf>
    <xf numFmtId="166" fontId="21" fillId="28" borderId="40" xfId="0" applyNumberFormat="1" applyFont="1" applyFill="1" applyBorder="1" applyAlignment="1" applyProtection="1">
      <alignment horizontal="center" vertical="center"/>
      <protection hidden="1"/>
    </xf>
    <xf numFmtId="2" fontId="0" fillId="28" borderId="40" xfId="0" applyNumberFormat="1" applyFill="1" applyBorder="1" applyAlignment="1" applyProtection="1">
      <alignment horizontal="center" vertical="center"/>
      <protection hidden="1"/>
    </xf>
    <xf numFmtId="2" fontId="0" fillId="28" borderId="41" xfId="0" applyNumberFormat="1" applyFill="1" applyBorder="1" applyAlignment="1" applyProtection="1">
      <alignment horizontal="center" vertical="center"/>
      <protection hidden="1"/>
    </xf>
    <xf numFmtId="166" fontId="21" fillId="26" borderId="38" xfId="0" applyNumberFormat="1" applyFont="1" applyFill="1" applyBorder="1" applyAlignment="1" applyProtection="1">
      <alignment horizontal="center" vertical="center"/>
      <protection hidden="1"/>
    </xf>
    <xf numFmtId="166" fontId="21" fillId="25" borderId="38" xfId="0" applyNumberFormat="1" applyFont="1" applyFill="1" applyBorder="1" applyAlignment="1" applyProtection="1">
      <alignment horizontal="center" vertical="center"/>
      <protection hidden="1"/>
    </xf>
    <xf numFmtId="11" fontId="0" fillId="0" borderId="17" xfId="0" applyNumberFormat="1" applyBorder="1" applyAlignment="1" applyProtection="1">
      <alignment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21" fillId="24" borderId="11" xfId="0" applyFont="1" applyFill="1" applyBorder="1" applyAlignment="1" applyProtection="1">
      <alignment horizontal="center" vertical="center"/>
      <protection locked="0"/>
    </xf>
    <xf numFmtId="2" fontId="21" fillId="25" borderId="11" xfId="0" applyNumberFormat="1" applyFont="1" applyFill="1" applyBorder="1" applyAlignment="1" applyProtection="1">
      <alignment horizontal="center" vertical="center"/>
      <protection hidden="1"/>
    </xf>
    <xf numFmtId="0" fontId="21" fillId="25" borderId="11" xfId="0" applyFont="1" applyFill="1" applyBorder="1" applyAlignment="1" applyProtection="1">
      <alignment horizontal="center" vertical="center"/>
      <protection hidden="1"/>
    </xf>
    <xf numFmtId="166" fontId="21" fillId="0" borderId="42" xfId="0" applyNumberFormat="1" applyFont="1" applyBorder="1" applyAlignment="1" applyProtection="1">
      <alignment horizontal="center" vertical="center"/>
      <protection hidden="1"/>
    </xf>
    <xf numFmtId="2" fontId="21" fillId="24" borderId="11" xfId="0" applyNumberFormat="1" applyFont="1" applyFill="1" applyBorder="1" applyAlignment="1" applyProtection="1">
      <alignment horizontal="center" vertical="center"/>
      <protection locked="0"/>
    </xf>
    <xf numFmtId="2" fontId="21" fillId="0" borderId="11" xfId="0" applyNumberFormat="1" applyFont="1" applyFill="1" applyBorder="1" applyAlignment="1" applyProtection="1">
      <alignment horizontal="center" vertical="center"/>
      <protection hidden="1"/>
    </xf>
    <xf numFmtId="2" fontId="0" fillId="0" borderId="11" xfId="0" applyNumberFormat="1" applyBorder="1" applyAlignment="1" applyProtection="1">
      <alignment horizontal="center" vertical="center"/>
      <protection hidden="1"/>
    </xf>
    <xf numFmtId="2" fontId="0" fillId="0" borderId="16" xfId="0" applyNumberFormat="1" applyBorder="1" applyAlignment="1" applyProtection="1">
      <alignment horizontal="center" vertical="center"/>
      <protection hidden="1"/>
    </xf>
    <xf numFmtId="11" fontId="32" fillId="0" borderId="13" xfId="0" applyNumberFormat="1" applyFont="1" applyBorder="1" applyAlignment="1" applyProtection="1">
      <alignment horizontal="center" vertical="center"/>
      <protection hidden="1"/>
    </xf>
    <xf numFmtId="11" fontId="33" fillId="0" borderId="11" xfId="0" applyNumberFormat="1" applyFont="1" applyBorder="1" applyAlignment="1" applyProtection="1">
      <alignment horizontal="center" vertical="center"/>
      <protection hidden="1"/>
    </xf>
    <xf numFmtId="0" fontId="32" fillId="0" borderId="43" xfId="0" applyFont="1" applyBorder="1" applyAlignment="1" applyProtection="1">
      <alignment horizontal="center" vertical="center"/>
      <protection hidden="1"/>
    </xf>
    <xf numFmtId="0" fontId="33" fillId="0" borderId="34" xfId="0" applyFont="1" applyBorder="1" applyAlignment="1" applyProtection="1">
      <alignment horizontal="center" vertical="center"/>
      <protection hidden="1"/>
    </xf>
    <xf numFmtId="166" fontId="32" fillId="0" borderId="11" xfId="0" applyNumberFormat="1" applyFont="1" applyBorder="1" applyAlignment="1" applyProtection="1">
      <alignment horizontal="center" vertical="center"/>
      <protection hidden="1"/>
    </xf>
    <xf numFmtId="166" fontId="32" fillId="0" borderId="34" xfId="0" applyNumberFormat="1" applyFont="1" applyBorder="1" applyAlignment="1" applyProtection="1">
      <alignment horizontal="center" vertical="center"/>
      <protection hidden="1"/>
    </xf>
    <xf numFmtId="166" fontId="24" fillId="26" borderId="44" xfId="0" applyNumberFormat="1" applyFont="1" applyFill="1" applyBorder="1" applyAlignment="1" applyProtection="1">
      <alignment horizontal="center" vertical="center"/>
      <protection hidden="1"/>
    </xf>
    <xf numFmtId="166" fontId="24" fillId="25" borderId="13" xfId="0" applyNumberFormat="1" applyFont="1" applyFill="1" applyBorder="1" applyAlignment="1" applyProtection="1">
      <alignment horizontal="center" vertical="center"/>
      <protection hidden="1"/>
    </xf>
    <xf numFmtId="166" fontId="24" fillId="25" borderId="40" xfId="0" applyNumberFormat="1" applyFont="1" applyFill="1" applyBorder="1" applyAlignment="1" applyProtection="1">
      <alignment horizontal="center" vertical="center"/>
      <protection hidden="1"/>
    </xf>
    <xf numFmtId="181" fontId="0" fillId="0" borderId="0" xfId="0" applyNumberFormat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25" borderId="10" xfId="0" applyFill="1" applyBorder="1" applyAlignment="1" applyProtection="1">
      <alignment horizontal="center"/>
      <protection hidden="1"/>
    </xf>
    <xf numFmtId="0" fontId="19" fillId="25" borderId="0" xfId="0" applyFont="1" applyFill="1" applyBorder="1" applyAlignment="1" applyProtection="1">
      <alignment horizontal="center" vertical="center"/>
      <protection hidden="1"/>
    </xf>
    <xf numFmtId="0" fontId="0" fillId="25" borderId="0" xfId="0" applyFill="1" applyBorder="1" applyAlignment="1" applyProtection="1">
      <alignment horizontal="center" vertical="center"/>
      <protection hidden="1"/>
    </xf>
    <xf numFmtId="166" fontId="32" fillId="26" borderId="16" xfId="0" applyNumberFormat="1" applyFont="1" applyFill="1" applyBorder="1" applyAlignment="1" applyProtection="1">
      <alignment horizontal="center" vertical="center"/>
      <protection hidden="1"/>
    </xf>
    <xf numFmtId="166" fontId="32" fillId="26" borderId="35" xfId="0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 applyFill="1" applyBorder="1" applyAlignment="1" applyProtection="1">
      <alignment vertical="center"/>
      <protection hidden="1"/>
    </xf>
    <xf numFmtId="0" fontId="25" fillId="0" borderId="0" xfId="0" applyFont="1" applyBorder="1" applyProtection="1">
      <protection hidden="1"/>
    </xf>
    <xf numFmtId="0" fontId="28" fillId="0" borderId="0" xfId="0" applyFont="1" applyBorder="1" applyProtection="1">
      <protection hidden="1"/>
    </xf>
    <xf numFmtId="0" fontId="25" fillId="0" borderId="0" xfId="0" applyFont="1" applyProtection="1">
      <protection hidden="1"/>
    </xf>
    <xf numFmtId="0" fontId="0" fillId="24" borderId="45" xfId="0" applyFill="1" applyBorder="1" applyAlignment="1" applyProtection="1">
      <alignment horizontal="center" vertical="center"/>
      <protection locked="0"/>
    </xf>
    <xf numFmtId="1" fontId="20" fillId="24" borderId="11" xfId="0" applyNumberFormat="1" applyFont="1" applyFill="1" applyBorder="1" applyAlignment="1" applyProtection="1">
      <alignment horizontal="center" vertical="center"/>
      <protection locked="0"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46" xfId="0" applyBorder="1" applyAlignment="1" applyProtection="1">
      <alignment horizontal="center" vertical="center"/>
      <protection hidden="1"/>
    </xf>
    <xf numFmtId="178" fontId="0" fillId="0" borderId="46" xfId="0" applyNumberFormat="1" applyBorder="1" applyProtection="1">
      <protection hidden="1"/>
    </xf>
    <xf numFmtId="2" fontId="0" fillId="0" borderId="47" xfId="0" applyNumberFormat="1" applyBorder="1" applyAlignment="1" applyProtection="1">
      <alignment horizontal="center" vertical="center"/>
      <protection hidden="1"/>
    </xf>
    <xf numFmtId="0" fontId="0" fillId="25" borderId="46" xfId="0" applyFill="1" applyBorder="1" applyAlignment="1" applyProtection="1">
      <alignment vertical="center"/>
      <protection hidden="1"/>
    </xf>
    <xf numFmtId="2" fontId="0" fillId="26" borderId="47" xfId="0" applyNumberFormat="1" applyFill="1" applyBorder="1" applyAlignment="1" applyProtection="1">
      <alignment horizontal="center" vertical="center"/>
      <protection hidden="1"/>
    </xf>
    <xf numFmtId="166" fontId="33" fillId="28" borderId="48" xfId="0" applyNumberFormat="1" applyFont="1" applyFill="1" applyBorder="1" applyAlignment="1" applyProtection="1">
      <alignment horizontal="center" vertical="center"/>
      <protection hidden="1"/>
    </xf>
    <xf numFmtId="166" fontId="33" fillId="28" borderId="31" xfId="0" applyNumberFormat="1" applyFont="1" applyFill="1" applyBorder="1" applyAlignment="1" applyProtection="1">
      <alignment horizontal="center" vertical="center"/>
      <protection hidden="1"/>
    </xf>
    <xf numFmtId="166" fontId="33" fillId="28" borderId="37" xfId="0" applyNumberFormat="1" applyFont="1" applyFill="1" applyBorder="1" applyAlignment="1" applyProtection="1">
      <alignment horizontal="center" vertical="center"/>
      <protection hidden="1"/>
    </xf>
    <xf numFmtId="166" fontId="33" fillId="28" borderId="49" xfId="0" applyNumberFormat="1" applyFont="1" applyFill="1" applyBorder="1" applyAlignment="1" applyProtection="1">
      <alignment horizontal="center" vertical="center"/>
      <protection hidden="1"/>
    </xf>
    <xf numFmtId="166" fontId="33" fillId="28" borderId="50" xfId="0" applyNumberFormat="1" applyFont="1" applyFill="1" applyBorder="1" applyAlignment="1" applyProtection="1">
      <alignment horizontal="center" vertical="center"/>
      <protection hidden="1"/>
    </xf>
    <xf numFmtId="2" fontId="21" fillId="24" borderId="11" xfId="0" applyNumberFormat="1" applyFont="1" applyFill="1" applyBorder="1" applyAlignment="1" applyProtection="1">
      <alignment horizontal="center" vertical="center"/>
      <protection locked="0" hidden="1"/>
    </xf>
    <xf numFmtId="166" fontId="21" fillId="26" borderId="65" xfId="0" applyNumberFormat="1" applyFont="1" applyFill="1" applyBorder="1" applyAlignment="1" applyProtection="1">
      <alignment horizontal="center" vertical="center"/>
      <protection hidden="1"/>
    </xf>
    <xf numFmtId="166" fontId="21" fillId="26" borderId="6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21" fillId="0" borderId="10" xfId="0" applyFont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left" vertical="center"/>
      <protection hidden="1"/>
    </xf>
    <xf numFmtId="0" fontId="0" fillId="0" borderId="10" xfId="0" applyBorder="1" applyAlignment="1" applyProtection="1">
      <alignment horizontal="left" vertical="center"/>
      <protection hidden="1"/>
    </xf>
    <xf numFmtId="1" fontId="0" fillId="0" borderId="0" xfId="0" applyNumberForma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/>
      <protection hidden="1"/>
    </xf>
    <xf numFmtId="166" fontId="21" fillId="25" borderId="17" xfId="0" applyNumberFormat="1" applyFont="1" applyFill="1" applyBorder="1" applyAlignment="1" applyProtection="1">
      <alignment horizontal="left"/>
      <protection hidden="1"/>
    </xf>
    <xf numFmtId="166" fontId="21" fillId="0" borderId="17" xfId="0" applyNumberFormat="1" applyFont="1" applyBorder="1" applyAlignment="1" applyProtection="1">
      <alignment horizontal="left"/>
      <protection hidden="1"/>
    </xf>
    <xf numFmtId="0" fontId="20" fillId="0" borderId="64" xfId="0" applyFont="1" applyBorder="1" applyAlignment="1" applyProtection="1">
      <alignment horizontal="left" vertical="center"/>
      <protection hidden="1"/>
    </xf>
    <xf numFmtId="0" fontId="20" fillId="0" borderId="26" xfId="0" applyFont="1" applyBorder="1" applyAlignment="1" applyProtection="1">
      <alignment horizontal="left" vertical="center"/>
      <protection hidden="1"/>
    </xf>
    <xf numFmtId="0" fontId="0" fillId="0" borderId="61" xfId="0" applyBorder="1" applyAlignment="1" applyProtection="1">
      <alignment horizontal="center" vertical="center"/>
      <protection hidden="1"/>
    </xf>
    <xf numFmtId="0" fontId="0" fillId="0" borderId="62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63" xfId="0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right" vertical="center" textRotation="90"/>
      <protection hidden="1"/>
    </xf>
    <xf numFmtId="0" fontId="21" fillId="0" borderId="0" xfId="0" applyFont="1" applyBorder="1" applyAlignment="1" applyProtection="1">
      <alignment vertical="center" textRotation="90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0" fillId="0" borderId="53" xfId="0" applyBorder="1" applyAlignment="1" applyProtection="1">
      <alignment horizontal="center"/>
      <protection hidden="1"/>
    </xf>
    <xf numFmtId="0" fontId="0" fillId="0" borderId="49" xfId="0" applyBorder="1" applyAlignment="1" applyProtection="1">
      <alignment horizontal="center"/>
      <protection hidden="1"/>
    </xf>
    <xf numFmtId="166" fontId="21" fillId="0" borderId="18" xfId="0" applyNumberFormat="1" applyFont="1" applyBorder="1" applyAlignment="1" applyProtection="1">
      <alignment horizontal="center" vertical="top" textRotation="90"/>
      <protection hidden="1"/>
    </xf>
    <xf numFmtId="166" fontId="21" fillId="0" borderId="18" xfId="0" applyNumberFormat="1" applyFont="1" applyBorder="1" applyAlignment="1" applyProtection="1">
      <alignment horizontal="center" vertical="center" textRotation="90"/>
      <protection hidden="1"/>
    </xf>
    <xf numFmtId="0" fontId="21" fillId="0" borderId="18" xfId="0" applyFont="1" applyBorder="1" applyAlignment="1" applyProtection="1">
      <alignment horizontal="center" vertical="center" textRotation="90"/>
      <protection hidden="1"/>
    </xf>
    <xf numFmtId="0" fontId="19" fillId="26" borderId="54" xfId="0" applyFont="1" applyFill="1" applyBorder="1" applyAlignment="1" applyProtection="1">
      <alignment horizontal="center" vertical="center"/>
      <protection hidden="1"/>
    </xf>
    <xf numFmtId="0" fontId="19" fillId="26" borderId="55" xfId="0" applyFont="1" applyFill="1" applyBorder="1" applyAlignment="1" applyProtection="1">
      <alignment horizontal="center" vertical="center"/>
      <protection hidden="1"/>
    </xf>
    <xf numFmtId="0" fontId="19" fillId="26" borderId="56" xfId="0" applyFont="1" applyFill="1" applyBorder="1" applyAlignment="1" applyProtection="1">
      <alignment horizontal="center" vertical="center"/>
      <protection hidden="1"/>
    </xf>
    <xf numFmtId="0" fontId="19" fillId="26" borderId="57" xfId="0" applyFont="1" applyFill="1" applyBorder="1" applyAlignment="1" applyProtection="1">
      <alignment horizontal="center" vertical="center"/>
      <protection hidden="1"/>
    </xf>
    <xf numFmtId="0" fontId="19" fillId="26" borderId="51" xfId="0" applyFont="1" applyFill="1" applyBorder="1" applyAlignment="1" applyProtection="1">
      <alignment horizontal="center" vertical="center"/>
      <protection hidden="1"/>
    </xf>
    <xf numFmtId="0" fontId="19" fillId="26" borderId="52" xfId="0" applyFont="1" applyFill="1" applyBorder="1" applyAlignment="1" applyProtection="1">
      <alignment horizontal="center" vertical="center"/>
      <protection hidden="1"/>
    </xf>
    <xf numFmtId="0" fontId="21" fillId="0" borderId="58" xfId="0" applyFont="1" applyBorder="1" applyAlignment="1" applyProtection="1">
      <alignment horizontal="center" vertical="center" wrapText="1"/>
      <protection hidden="1"/>
    </xf>
    <xf numFmtId="0" fontId="21" fillId="0" borderId="59" xfId="0" applyFont="1" applyBorder="1" applyAlignment="1" applyProtection="1">
      <alignment horizontal="center" vertical="center" wrapText="1"/>
      <protection hidden="1"/>
    </xf>
    <xf numFmtId="0" fontId="21" fillId="0" borderId="6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</cellXfs>
  <cellStyles count="42">
    <cellStyle name="20% - Akzent1" xfId="1" xr:uid="{83DA68FE-25FE-40C1-AABC-368901BCFCE1}"/>
    <cellStyle name="20% - Akzent2" xfId="2" xr:uid="{C24D5ED8-F366-4F36-A646-B9EC9A111CE0}"/>
    <cellStyle name="20% - Akzent3" xfId="3" xr:uid="{E5D575A1-401D-4EDB-9C37-99579C7B1C54}"/>
    <cellStyle name="20% - Akzent4" xfId="4" xr:uid="{9CCB0BA9-31C2-49AB-BBA9-19922E9D5F1C}"/>
    <cellStyle name="20% - Akzent5" xfId="5" xr:uid="{9C37F2F5-6A75-420A-9647-12DA24455045}"/>
    <cellStyle name="20% - Akzent6" xfId="6" xr:uid="{62CC6233-69A7-4267-86E3-06D2FD95D6E3}"/>
    <cellStyle name="40% - Akzent1" xfId="7" xr:uid="{16FFCB5A-C018-451B-9E88-10E391FE8583}"/>
    <cellStyle name="40% - Akzent2" xfId="8" xr:uid="{BEFD2A26-FEBD-46C9-852E-3E4710AD159A}"/>
    <cellStyle name="40% - Akzent3" xfId="9" xr:uid="{E22120A6-78B7-4F68-9C37-B75ABE428C51}"/>
    <cellStyle name="40% - Akzent4" xfId="10" xr:uid="{71EC3D22-1581-4DAE-8272-51255A056BFF}"/>
    <cellStyle name="40% - Akzent5" xfId="11" xr:uid="{20C00791-0214-4360-A297-B634334AEF90}"/>
    <cellStyle name="40% - Akzent6" xfId="12" xr:uid="{93C8FF07-F9D8-44E9-8ADC-1434D6BF3F52}"/>
    <cellStyle name="60% - Akzent1" xfId="13" xr:uid="{BCBCA059-B9E4-435D-A7B2-3845FF2ADD77}"/>
    <cellStyle name="60% - Akzent2" xfId="14" xr:uid="{A9166479-F17C-4854-807B-462808B576DE}"/>
    <cellStyle name="60% - Akzent3" xfId="15" xr:uid="{BA751541-6A57-4CAC-BF9A-5FE9BFD6E20A}"/>
    <cellStyle name="60% - Akzent4" xfId="16" xr:uid="{D25D9474-2500-4AD3-96DF-406AFFAB7AD9}"/>
    <cellStyle name="60% - Akzent5" xfId="17" xr:uid="{3A8E8F6F-0499-4BEF-9F50-BF6E08F901F3}"/>
    <cellStyle name="60% - Akzent6" xfId="18" xr:uid="{58DB9101-F9A2-45C8-A5FB-8CFC6F6B3DBE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8</xdr:row>
      <xdr:rowOff>38100</xdr:rowOff>
    </xdr:from>
    <xdr:to>
      <xdr:col>0</xdr:col>
      <xdr:colOff>409575</xdr:colOff>
      <xdr:row>8</xdr:row>
      <xdr:rowOff>133350</xdr:rowOff>
    </xdr:to>
    <xdr:sp macro="" textlink="">
      <xdr:nvSpPr>
        <xdr:cNvPr id="1025" name="Freeform 1">
          <a:extLst>
            <a:ext uri="{FF2B5EF4-FFF2-40B4-BE49-F238E27FC236}">
              <a16:creationId xmlns:a16="http://schemas.microsoft.com/office/drawing/2014/main" id="{09F5A72D-3BAF-648A-21C1-D734CDEF3549}"/>
            </a:ext>
          </a:extLst>
        </xdr:cNvPr>
        <xdr:cNvSpPr>
          <a:spLocks/>
        </xdr:cNvSpPr>
      </xdr:nvSpPr>
      <xdr:spPr bwMode="auto">
        <a:xfrm>
          <a:off x="333375" y="2047875"/>
          <a:ext cx="76200" cy="95250"/>
        </a:xfrm>
        <a:custGeom>
          <a:avLst/>
          <a:gdLst>
            <a:gd name="T0" fmla="*/ 0 w 16"/>
            <a:gd name="T1" fmla="*/ 2147483647 h 19"/>
            <a:gd name="T2" fmla="*/ 2147483647 w 16"/>
            <a:gd name="T3" fmla="*/ 2147483647 h 19"/>
            <a:gd name="T4" fmla="*/ 2147483647 w 16"/>
            <a:gd name="T5" fmla="*/ 2147483647 h 19"/>
            <a:gd name="T6" fmla="*/ 2147483647 w 16"/>
            <a:gd name="T7" fmla="*/ 2147483647 h 19"/>
            <a:gd name="T8" fmla="*/ 0 60000 65536"/>
            <a:gd name="T9" fmla="*/ 0 60000 65536"/>
            <a:gd name="T10" fmla="*/ 0 60000 65536"/>
            <a:gd name="T11" fmla="*/ 0 60000 65536"/>
            <a:gd name="T12" fmla="*/ 0 w 16"/>
            <a:gd name="T13" fmla="*/ 0 h 19"/>
            <a:gd name="T14" fmla="*/ 16 w 16"/>
            <a:gd name="T15" fmla="*/ 19 h 19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6" h="19">
              <a:moveTo>
                <a:pt x="0" y="5"/>
              </a:moveTo>
              <a:cubicBezTo>
                <a:pt x="3" y="12"/>
                <a:pt x="6" y="19"/>
                <a:pt x="9" y="19"/>
              </a:cubicBezTo>
              <a:cubicBezTo>
                <a:pt x="12" y="19"/>
                <a:pt x="16" y="6"/>
                <a:pt x="16" y="3"/>
              </a:cubicBezTo>
              <a:cubicBezTo>
                <a:pt x="16" y="0"/>
                <a:pt x="11" y="3"/>
                <a:pt x="10" y="3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133350</xdr:colOff>
      <xdr:row>0</xdr:row>
      <xdr:rowOff>19050</xdr:rowOff>
    </xdr:from>
    <xdr:to>
      <xdr:col>14</xdr:col>
      <xdr:colOff>57150</xdr:colOff>
      <xdr:row>1</xdr:row>
      <xdr:rowOff>257175</xdr:rowOff>
    </xdr:to>
    <xdr:pic>
      <xdr:nvPicPr>
        <xdr:cNvPr id="1033" name="Picture 4">
          <a:extLst>
            <a:ext uri="{FF2B5EF4-FFF2-40B4-BE49-F238E27FC236}">
              <a16:creationId xmlns:a16="http://schemas.microsoft.com/office/drawing/2014/main" id="{1E79BE4C-4E5A-4E6E-3D19-C517AAB84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 contrast="-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19050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304800</xdr:colOff>
      <xdr:row>38</xdr:row>
      <xdr:rowOff>209550</xdr:rowOff>
    </xdr:from>
    <xdr:to>
      <xdr:col>12</xdr:col>
      <xdr:colOff>304800</xdr:colOff>
      <xdr:row>55</xdr:row>
      <xdr:rowOff>0</xdr:rowOff>
    </xdr:to>
    <xdr:sp macro="" textlink="">
      <xdr:nvSpPr>
        <xdr:cNvPr id="1034" name="Line 7">
          <a:extLst>
            <a:ext uri="{FF2B5EF4-FFF2-40B4-BE49-F238E27FC236}">
              <a16:creationId xmlns:a16="http://schemas.microsoft.com/office/drawing/2014/main" id="{3021835D-8405-CC3B-01E9-F10965BA964D}"/>
            </a:ext>
          </a:extLst>
        </xdr:cNvPr>
        <xdr:cNvSpPr>
          <a:spLocks noChangeShapeType="1"/>
        </xdr:cNvSpPr>
      </xdr:nvSpPr>
      <xdr:spPr bwMode="auto">
        <a:xfrm>
          <a:off x="8877300" y="9782175"/>
          <a:ext cx="0" cy="4000500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40</xdr:row>
      <xdr:rowOff>0</xdr:rowOff>
    </xdr:from>
    <xdr:to>
      <xdr:col>12</xdr:col>
      <xdr:colOff>247650</xdr:colOff>
      <xdr:row>40</xdr:row>
      <xdr:rowOff>0</xdr:rowOff>
    </xdr:to>
    <xdr:sp macro="" textlink="">
      <xdr:nvSpPr>
        <xdr:cNvPr id="1037" name="Line 9">
          <a:extLst>
            <a:ext uri="{FF2B5EF4-FFF2-40B4-BE49-F238E27FC236}">
              <a16:creationId xmlns:a16="http://schemas.microsoft.com/office/drawing/2014/main" id="{F8F0A22B-6533-2A93-4BFC-0710FD8EB578}"/>
            </a:ext>
          </a:extLst>
        </xdr:cNvPr>
        <xdr:cNvSpPr>
          <a:spLocks noChangeShapeType="1"/>
        </xdr:cNvSpPr>
      </xdr:nvSpPr>
      <xdr:spPr bwMode="auto">
        <a:xfrm>
          <a:off x="8591550" y="1006792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49</xdr:row>
      <xdr:rowOff>0</xdr:rowOff>
    </xdr:from>
    <xdr:to>
      <xdr:col>12</xdr:col>
      <xdr:colOff>247650</xdr:colOff>
      <xdr:row>49</xdr:row>
      <xdr:rowOff>0</xdr:rowOff>
    </xdr:to>
    <xdr:sp macro="" textlink="">
      <xdr:nvSpPr>
        <xdr:cNvPr id="1038" name="Line 9">
          <a:extLst>
            <a:ext uri="{FF2B5EF4-FFF2-40B4-BE49-F238E27FC236}">
              <a16:creationId xmlns:a16="http://schemas.microsoft.com/office/drawing/2014/main" id="{DF821F0A-08F5-42D3-27E0-B11DDD1A6CF1}"/>
            </a:ext>
          </a:extLst>
        </xdr:cNvPr>
        <xdr:cNvSpPr>
          <a:spLocks noChangeShapeType="1"/>
        </xdr:cNvSpPr>
      </xdr:nvSpPr>
      <xdr:spPr bwMode="auto">
        <a:xfrm>
          <a:off x="8591550" y="122967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28575</xdr:colOff>
      <xdr:row>52</xdr:row>
      <xdr:rowOff>0</xdr:rowOff>
    </xdr:from>
    <xdr:to>
      <xdr:col>12</xdr:col>
      <xdr:colOff>257175</xdr:colOff>
      <xdr:row>52</xdr:row>
      <xdr:rowOff>0</xdr:rowOff>
    </xdr:to>
    <xdr:sp macro="" textlink="">
      <xdr:nvSpPr>
        <xdr:cNvPr id="1039" name="Line 9">
          <a:extLst>
            <a:ext uri="{FF2B5EF4-FFF2-40B4-BE49-F238E27FC236}">
              <a16:creationId xmlns:a16="http://schemas.microsoft.com/office/drawing/2014/main" id="{0AD3D42C-C296-0B25-942F-F31E0B16E227}"/>
            </a:ext>
          </a:extLst>
        </xdr:cNvPr>
        <xdr:cNvSpPr>
          <a:spLocks noChangeShapeType="1"/>
        </xdr:cNvSpPr>
      </xdr:nvSpPr>
      <xdr:spPr bwMode="auto">
        <a:xfrm>
          <a:off x="8601075" y="1303972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28575</xdr:colOff>
      <xdr:row>55</xdr:row>
      <xdr:rowOff>0</xdr:rowOff>
    </xdr:from>
    <xdr:to>
      <xdr:col>12</xdr:col>
      <xdr:colOff>257175</xdr:colOff>
      <xdr:row>55</xdr:row>
      <xdr:rowOff>0</xdr:rowOff>
    </xdr:to>
    <xdr:sp macro="" textlink="">
      <xdr:nvSpPr>
        <xdr:cNvPr id="1040" name="Line 9">
          <a:extLst>
            <a:ext uri="{FF2B5EF4-FFF2-40B4-BE49-F238E27FC236}">
              <a16:creationId xmlns:a16="http://schemas.microsoft.com/office/drawing/2014/main" id="{31A55FDB-F8A1-7BED-5C9B-5C631E498959}"/>
            </a:ext>
          </a:extLst>
        </xdr:cNvPr>
        <xdr:cNvSpPr>
          <a:spLocks noChangeShapeType="1"/>
        </xdr:cNvSpPr>
      </xdr:nvSpPr>
      <xdr:spPr bwMode="auto">
        <a:xfrm>
          <a:off x="8601075" y="137826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266700</xdr:colOff>
      <xdr:row>52</xdr:row>
      <xdr:rowOff>0</xdr:rowOff>
    </xdr:from>
    <xdr:to>
      <xdr:col>14</xdr:col>
      <xdr:colOff>180975</xdr:colOff>
      <xdr:row>52</xdr:row>
      <xdr:rowOff>0</xdr:rowOff>
    </xdr:to>
    <xdr:sp macro="" textlink="">
      <xdr:nvSpPr>
        <xdr:cNvPr id="1042" name="Line 18">
          <a:extLst>
            <a:ext uri="{FF2B5EF4-FFF2-40B4-BE49-F238E27FC236}">
              <a16:creationId xmlns:a16="http://schemas.microsoft.com/office/drawing/2014/main" id="{712275DE-6413-3B8F-5752-17820979ECA0}"/>
            </a:ext>
          </a:extLst>
        </xdr:cNvPr>
        <xdr:cNvSpPr>
          <a:spLocks noChangeShapeType="1"/>
        </xdr:cNvSpPr>
      </xdr:nvSpPr>
      <xdr:spPr bwMode="auto">
        <a:xfrm>
          <a:off x="8839200" y="13039725"/>
          <a:ext cx="542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238125</xdr:colOff>
      <xdr:row>49</xdr:row>
      <xdr:rowOff>0</xdr:rowOff>
    </xdr:from>
    <xdr:to>
      <xdr:col>14</xdr:col>
      <xdr:colOff>180975</xdr:colOff>
      <xdr:row>49</xdr:row>
      <xdr:rowOff>0</xdr:rowOff>
    </xdr:to>
    <xdr:sp macro="" textlink="">
      <xdr:nvSpPr>
        <xdr:cNvPr id="1043" name="Line 19">
          <a:extLst>
            <a:ext uri="{FF2B5EF4-FFF2-40B4-BE49-F238E27FC236}">
              <a16:creationId xmlns:a16="http://schemas.microsoft.com/office/drawing/2014/main" id="{8E354CFA-3B5B-4846-8569-E41992210AB0}"/>
            </a:ext>
          </a:extLst>
        </xdr:cNvPr>
        <xdr:cNvSpPr>
          <a:spLocks noChangeShapeType="1"/>
        </xdr:cNvSpPr>
      </xdr:nvSpPr>
      <xdr:spPr bwMode="auto">
        <a:xfrm>
          <a:off x="8810625" y="12296775"/>
          <a:ext cx="571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257175</xdr:colOff>
      <xdr:row>55</xdr:row>
      <xdr:rowOff>0</xdr:rowOff>
    </xdr:from>
    <xdr:to>
      <xdr:col>14</xdr:col>
      <xdr:colOff>180975</xdr:colOff>
      <xdr:row>55</xdr:row>
      <xdr:rowOff>0</xdr:rowOff>
    </xdr:to>
    <xdr:sp macro="" textlink="">
      <xdr:nvSpPr>
        <xdr:cNvPr id="1044" name="Line 20">
          <a:extLst>
            <a:ext uri="{FF2B5EF4-FFF2-40B4-BE49-F238E27FC236}">
              <a16:creationId xmlns:a16="http://schemas.microsoft.com/office/drawing/2014/main" id="{300DC1BA-627B-CF34-E100-7233512F1BFD}"/>
            </a:ext>
          </a:extLst>
        </xdr:cNvPr>
        <xdr:cNvSpPr>
          <a:spLocks noChangeShapeType="1"/>
        </xdr:cNvSpPr>
      </xdr:nvSpPr>
      <xdr:spPr bwMode="auto">
        <a:xfrm>
          <a:off x="8829675" y="13782675"/>
          <a:ext cx="552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0</xdr:colOff>
      <xdr:row>54</xdr:row>
      <xdr:rowOff>219075</xdr:rowOff>
    </xdr:to>
    <xdr:sp macro="" textlink="">
      <xdr:nvSpPr>
        <xdr:cNvPr id="1046" name="Line 44">
          <a:extLst>
            <a:ext uri="{FF2B5EF4-FFF2-40B4-BE49-F238E27FC236}">
              <a16:creationId xmlns:a16="http://schemas.microsoft.com/office/drawing/2014/main" id="{2F2B9330-B0E7-D6EE-88BB-283C6BC5ACBD}"/>
            </a:ext>
          </a:extLst>
        </xdr:cNvPr>
        <xdr:cNvSpPr>
          <a:spLocks noChangeShapeType="1"/>
        </xdr:cNvSpPr>
      </xdr:nvSpPr>
      <xdr:spPr bwMode="auto">
        <a:xfrm flipH="1">
          <a:off x="9201150" y="13039725"/>
          <a:ext cx="0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med" len="med"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390525</xdr:colOff>
      <xdr:row>4</xdr:row>
      <xdr:rowOff>9525</xdr:rowOff>
    </xdr:from>
    <xdr:to>
      <xdr:col>12</xdr:col>
      <xdr:colOff>247650</xdr:colOff>
      <xdr:row>18</xdr:row>
      <xdr:rowOff>161925</xdr:rowOff>
    </xdr:to>
    <xdr:pic>
      <xdr:nvPicPr>
        <xdr:cNvPr id="1049" name="Picture 25">
          <a:extLst>
            <a:ext uri="{FF2B5EF4-FFF2-40B4-BE49-F238E27FC236}">
              <a16:creationId xmlns:a16="http://schemas.microsoft.com/office/drawing/2014/main" id="{AD856A04-F322-30C0-200B-7AC3FB9AC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28700"/>
          <a:ext cx="4143375" cy="344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19050</xdr:rowOff>
    </xdr:from>
    <xdr:to>
      <xdr:col>0</xdr:col>
      <xdr:colOff>647700</xdr:colOff>
      <xdr:row>1</xdr:row>
      <xdr:rowOff>276225</xdr:rowOff>
    </xdr:to>
    <xdr:pic>
      <xdr:nvPicPr>
        <xdr:cNvPr id="1053" name="Picture 29">
          <a:extLst>
            <a:ext uri="{FF2B5EF4-FFF2-40B4-BE49-F238E27FC236}">
              <a16:creationId xmlns:a16="http://schemas.microsoft.com/office/drawing/2014/main" id="{7506EEA0-93ED-FF81-5ABD-D4AF20DB0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60007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19050</xdr:colOff>
      <xdr:row>56</xdr:row>
      <xdr:rowOff>0</xdr:rowOff>
    </xdr:from>
    <xdr:to>
      <xdr:col>12</xdr:col>
      <xdr:colOff>276225</xdr:colOff>
      <xdr:row>56</xdr:row>
      <xdr:rowOff>0</xdr:rowOff>
    </xdr:to>
    <xdr:sp macro="" textlink="">
      <xdr:nvSpPr>
        <xdr:cNvPr id="1054" name="Line 30">
          <a:extLst>
            <a:ext uri="{FF2B5EF4-FFF2-40B4-BE49-F238E27FC236}">
              <a16:creationId xmlns:a16="http://schemas.microsoft.com/office/drawing/2014/main" id="{F254467A-E3D4-ECA7-18A8-7EF50F34A34E}"/>
            </a:ext>
          </a:extLst>
        </xdr:cNvPr>
        <xdr:cNvSpPr>
          <a:spLocks noChangeShapeType="1"/>
        </xdr:cNvSpPr>
      </xdr:nvSpPr>
      <xdr:spPr bwMode="auto">
        <a:xfrm>
          <a:off x="8591550" y="14030325"/>
          <a:ext cx="257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247650</xdr:colOff>
      <xdr:row>56</xdr:row>
      <xdr:rowOff>0</xdr:rowOff>
    </xdr:from>
    <xdr:to>
      <xdr:col>14</xdr:col>
      <xdr:colOff>28575</xdr:colOff>
      <xdr:row>56</xdr:row>
      <xdr:rowOff>0</xdr:rowOff>
    </xdr:to>
    <xdr:sp macro="" textlink="">
      <xdr:nvSpPr>
        <xdr:cNvPr id="1055" name="Line 31">
          <a:extLst>
            <a:ext uri="{FF2B5EF4-FFF2-40B4-BE49-F238E27FC236}">
              <a16:creationId xmlns:a16="http://schemas.microsoft.com/office/drawing/2014/main" id="{3F34C2FA-4469-9BCA-67CD-314C3C8CDD15}"/>
            </a:ext>
          </a:extLst>
        </xdr:cNvPr>
        <xdr:cNvSpPr>
          <a:spLocks noChangeShapeType="1"/>
        </xdr:cNvSpPr>
      </xdr:nvSpPr>
      <xdr:spPr bwMode="auto">
        <a:xfrm>
          <a:off x="8820150" y="14030325"/>
          <a:ext cx="409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228600</xdr:colOff>
      <xdr:row>40</xdr:row>
      <xdr:rowOff>0</xdr:rowOff>
    </xdr:from>
    <xdr:to>
      <xdr:col>14</xdr:col>
      <xdr:colOff>114300</xdr:colOff>
      <xdr:row>40</xdr:row>
      <xdr:rowOff>0</xdr:rowOff>
    </xdr:to>
    <xdr:sp macro="" textlink="">
      <xdr:nvSpPr>
        <xdr:cNvPr id="1056" name="Line 32">
          <a:extLst>
            <a:ext uri="{FF2B5EF4-FFF2-40B4-BE49-F238E27FC236}">
              <a16:creationId xmlns:a16="http://schemas.microsoft.com/office/drawing/2014/main" id="{523EFB5D-D78B-C833-24A1-7844EBF8A0E9}"/>
            </a:ext>
          </a:extLst>
        </xdr:cNvPr>
        <xdr:cNvSpPr>
          <a:spLocks noChangeShapeType="1"/>
        </xdr:cNvSpPr>
      </xdr:nvSpPr>
      <xdr:spPr bwMode="auto">
        <a:xfrm>
          <a:off x="8801100" y="10067925"/>
          <a:ext cx="514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0</xdr:colOff>
      <xdr:row>49</xdr:row>
      <xdr:rowOff>0</xdr:rowOff>
    </xdr:to>
    <xdr:sp macro="" textlink="">
      <xdr:nvSpPr>
        <xdr:cNvPr id="1057" name="Line 33">
          <a:extLst>
            <a:ext uri="{FF2B5EF4-FFF2-40B4-BE49-F238E27FC236}">
              <a16:creationId xmlns:a16="http://schemas.microsoft.com/office/drawing/2014/main" id="{1F25A28C-AEF4-EFF9-D9CC-9D98A17ACE89}"/>
            </a:ext>
          </a:extLst>
        </xdr:cNvPr>
        <xdr:cNvSpPr>
          <a:spLocks noChangeShapeType="1"/>
        </xdr:cNvSpPr>
      </xdr:nvSpPr>
      <xdr:spPr bwMode="auto">
        <a:xfrm>
          <a:off x="9201150" y="10067925"/>
          <a:ext cx="0" cy="2228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0</xdr:colOff>
      <xdr:row>56</xdr:row>
      <xdr:rowOff>0</xdr:rowOff>
    </xdr:to>
    <xdr:sp macro="" textlink="">
      <xdr:nvSpPr>
        <xdr:cNvPr id="1058" name="Line 34">
          <a:extLst>
            <a:ext uri="{FF2B5EF4-FFF2-40B4-BE49-F238E27FC236}">
              <a16:creationId xmlns:a16="http://schemas.microsoft.com/office/drawing/2014/main" id="{75C2CE53-0913-AB0C-A876-665BA9A5EE10}"/>
            </a:ext>
          </a:extLst>
        </xdr:cNvPr>
        <xdr:cNvSpPr>
          <a:spLocks noChangeShapeType="1"/>
        </xdr:cNvSpPr>
      </xdr:nvSpPr>
      <xdr:spPr bwMode="auto">
        <a:xfrm>
          <a:off x="9201150" y="13782675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oval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56</xdr:row>
      <xdr:rowOff>9525</xdr:rowOff>
    </xdr:from>
    <xdr:to>
      <xdr:col>14</xdr:col>
      <xdr:colOff>0</xdr:colOff>
      <xdr:row>57</xdr:row>
      <xdr:rowOff>123825</xdr:rowOff>
    </xdr:to>
    <xdr:sp macro="" textlink="">
      <xdr:nvSpPr>
        <xdr:cNvPr id="1063" name="Line 39">
          <a:extLst>
            <a:ext uri="{FF2B5EF4-FFF2-40B4-BE49-F238E27FC236}">
              <a16:creationId xmlns:a16="http://schemas.microsoft.com/office/drawing/2014/main" id="{2E12FD73-3767-AAD6-B15C-DD7E3EB04222}"/>
            </a:ext>
          </a:extLst>
        </xdr:cNvPr>
        <xdr:cNvSpPr>
          <a:spLocks noChangeShapeType="1"/>
        </xdr:cNvSpPr>
      </xdr:nvSpPr>
      <xdr:spPr bwMode="auto">
        <a:xfrm>
          <a:off x="9201150" y="14039850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49</xdr:row>
      <xdr:rowOff>9525</xdr:rowOff>
    </xdr:from>
    <xdr:to>
      <xdr:col>14</xdr:col>
      <xdr:colOff>0</xdr:colOff>
      <xdr:row>52</xdr:row>
      <xdr:rowOff>0</xdr:rowOff>
    </xdr:to>
    <xdr:sp macro="" textlink="">
      <xdr:nvSpPr>
        <xdr:cNvPr id="1064" name="Line 40">
          <a:extLst>
            <a:ext uri="{FF2B5EF4-FFF2-40B4-BE49-F238E27FC236}">
              <a16:creationId xmlns:a16="http://schemas.microsoft.com/office/drawing/2014/main" id="{9DB7E707-2FF1-4E7E-E3A0-117552DEDE24}"/>
            </a:ext>
          </a:extLst>
        </xdr:cNvPr>
        <xdr:cNvSpPr>
          <a:spLocks noChangeShapeType="1"/>
        </xdr:cNvSpPr>
      </xdr:nvSpPr>
      <xdr:spPr bwMode="auto">
        <a:xfrm>
          <a:off x="9201150" y="12306300"/>
          <a:ext cx="0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715C3-CEC0-48A2-9D78-61E8F0F6ABE0}">
  <dimension ref="A1:R161"/>
  <sheetViews>
    <sheetView showGridLines="0" showZeros="0" tabSelected="1" topLeftCell="A4" zoomScaleNormal="100" workbookViewId="0">
      <selection activeCell="B5" sqref="B5"/>
    </sheetView>
  </sheetViews>
  <sheetFormatPr baseColWidth="10" defaultRowHeight="12.75" x14ac:dyDescent="0.2"/>
  <cols>
    <col min="1" max="12" width="10.7109375" style="2" customWidth="1"/>
    <col min="13" max="14" width="4.7109375" style="2" customWidth="1"/>
    <col min="15" max="15" width="3.7109375" style="2" customWidth="1"/>
    <col min="16" max="18" width="10.7109375" style="2" customWidth="1"/>
    <col min="19" max="16384" width="11.42578125" style="2"/>
  </cols>
  <sheetData>
    <row r="1" spans="1:15" ht="24.95" customHeight="1" x14ac:dyDescent="0.2">
      <c r="A1" s="205"/>
      <c r="B1" s="210" t="s">
        <v>0</v>
      </c>
      <c r="C1" s="211"/>
      <c r="D1" s="211"/>
      <c r="E1" s="211"/>
      <c r="F1" s="211"/>
      <c r="G1" s="211"/>
      <c r="H1" s="211"/>
      <c r="I1" s="211"/>
      <c r="J1" s="211"/>
      <c r="K1" s="211"/>
      <c r="L1" s="212"/>
      <c r="M1" s="197"/>
      <c r="N1" s="197"/>
      <c r="O1" s="198"/>
    </row>
    <row r="2" spans="1:15" ht="24.95" customHeight="1" x14ac:dyDescent="0.2">
      <c r="A2" s="206"/>
      <c r="B2" s="213" t="s">
        <v>1</v>
      </c>
      <c r="C2" s="214"/>
      <c r="D2" s="214"/>
      <c r="E2" s="214"/>
      <c r="F2" s="214"/>
      <c r="G2" s="214"/>
      <c r="H2" s="214"/>
      <c r="I2" s="214"/>
      <c r="J2" s="214"/>
      <c r="K2" s="214"/>
      <c r="L2" s="215"/>
      <c r="M2" s="199"/>
      <c r="N2" s="199"/>
      <c r="O2" s="200"/>
    </row>
    <row r="3" spans="1:15" ht="15" customHeight="1" x14ac:dyDescent="0.2">
      <c r="A3" s="162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4"/>
      <c r="N3" s="164"/>
      <c r="O3" s="161"/>
    </row>
    <row r="4" spans="1:15" ht="15.95" customHeight="1" x14ac:dyDescent="0.25">
      <c r="A4" s="3" t="s">
        <v>2</v>
      </c>
      <c r="B4" s="4"/>
      <c r="C4" s="4"/>
      <c r="D4" s="4"/>
      <c r="E4" s="35"/>
      <c r="F4" s="4"/>
      <c r="G4" s="4"/>
      <c r="H4" s="5"/>
      <c r="I4" s="6"/>
      <c r="J4" s="7"/>
      <c r="K4" s="7"/>
      <c r="L4" s="7"/>
      <c r="M4" s="4"/>
      <c r="N4" s="35"/>
      <c r="O4" s="94"/>
    </row>
    <row r="5" spans="1:15" ht="20.100000000000001" customHeight="1" x14ac:dyDescent="0.2">
      <c r="A5" s="8" t="s">
        <v>3</v>
      </c>
      <c r="B5" s="108"/>
      <c r="C5" s="4" t="s">
        <v>4</v>
      </c>
      <c r="D5" s="187" t="s">
        <v>5</v>
      </c>
      <c r="E5" s="187"/>
      <c r="F5" s="4"/>
      <c r="G5" s="4"/>
      <c r="H5" s="7"/>
      <c r="I5" s="7"/>
      <c r="J5" s="9"/>
      <c r="K5" s="7"/>
      <c r="L5" s="7"/>
      <c r="M5" s="28"/>
      <c r="N5" s="35"/>
      <c r="O5" s="94"/>
    </row>
    <row r="6" spans="1:15" ht="20.100000000000001" customHeight="1" x14ac:dyDescent="0.2">
      <c r="A6" s="8" t="s">
        <v>6</v>
      </c>
      <c r="B6" s="10"/>
      <c r="C6" s="11" t="s">
        <v>7</v>
      </c>
      <c r="D6" s="187" t="s">
        <v>8</v>
      </c>
      <c r="E6" s="187"/>
      <c r="F6" s="4"/>
      <c r="G6" s="4"/>
      <c r="H6" s="7"/>
      <c r="I6" s="7"/>
      <c r="J6" s="167"/>
      <c r="K6" s="204"/>
      <c r="L6" s="204"/>
      <c r="M6" s="28"/>
      <c r="N6" s="35"/>
      <c r="O6" s="94"/>
    </row>
    <row r="7" spans="1:15" ht="20.100000000000001" customHeight="1" x14ac:dyDescent="0.2">
      <c r="A7" s="8" t="s">
        <v>9</v>
      </c>
      <c r="B7" s="10"/>
      <c r="C7" s="4" t="s">
        <v>10</v>
      </c>
      <c r="D7" s="187" t="s">
        <v>11</v>
      </c>
      <c r="E7" s="187"/>
      <c r="F7" s="4"/>
      <c r="G7" s="4"/>
      <c r="H7" s="12"/>
      <c r="I7" s="12"/>
      <c r="J7" s="12"/>
      <c r="K7" s="12"/>
      <c r="L7" s="7"/>
      <c r="M7" s="28"/>
      <c r="N7" s="35"/>
      <c r="O7" s="94"/>
    </row>
    <row r="8" spans="1:15" ht="20.100000000000001" customHeight="1" x14ac:dyDescent="0.25">
      <c r="A8" s="8" t="s">
        <v>12</v>
      </c>
      <c r="B8" s="4">
        <v>9.81</v>
      </c>
      <c r="C8" s="4" t="s">
        <v>13</v>
      </c>
      <c r="D8" s="187" t="s">
        <v>14</v>
      </c>
      <c r="E8" s="187"/>
      <c r="F8" s="4"/>
      <c r="G8" s="4"/>
      <c r="H8" s="5"/>
      <c r="I8" s="6"/>
      <c r="J8" s="7"/>
      <c r="K8" s="13"/>
      <c r="L8" s="7"/>
      <c r="M8" s="28"/>
      <c r="N8" s="28"/>
      <c r="O8" s="94"/>
    </row>
    <row r="9" spans="1:15" ht="20.100000000000001" customHeight="1" x14ac:dyDescent="0.2">
      <c r="A9" s="8"/>
      <c r="B9" s="14">
        <v>1.31E-6</v>
      </c>
      <c r="C9" s="15" t="s">
        <v>15</v>
      </c>
      <c r="D9" s="187" t="s">
        <v>16</v>
      </c>
      <c r="E9" s="187"/>
      <c r="F9" s="4"/>
      <c r="G9" s="4"/>
      <c r="H9" s="7"/>
      <c r="I9" s="7"/>
      <c r="J9" s="16"/>
      <c r="K9" s="17"/>
      <c r="L9" s="7"/>
      <c r="M9" s="28"/>
      <c r="N9" s="35"/>
      <c r="O9" s="94"/>
    </row>
    <row r="10" spans="1:15" ht="15" customHeight="1" x14ac:dyDescent="0.2">
      <c r="A10" s="41"/>
      <c r="B10" s="90"/>
      <c r="C10" s="14"/>
      <c r="D10" s="15"/>
      <c r="E10" s="4"/>
      <c r="F10" s="4"/>
      <c r="G10" s="4"/>
      <c r="H10" s="7"/>
      <c r="I10" s="7"/>
      <c r="J10" s="16"/>
      <c r="K10" s="17"/>
      <c r="L10" s="7"/>
      <c r="M10" s="28"/>
      <c r="N10" s="35"/>
      <c r="O10" s="94"/>
    </row>
    <row r="11" spans="1:15" ht="20.100000000000001" customHeight="1" x14ac:dyDescent="0.25">
      <c r="A11" s="18" t="s">
        <v>28</v>
      </c>
      <c r="B11" s="14"/>
      <c r="C11" s="15"/>
      <c r="D11" s="4"/>
      <c r="E11" s="4"/>
      <c r="F11" s="35"/>
      <c r="G11" s="4"/>
      <c r="H11" s="7"/>
      <c r="I11" s="7"/>
      <c r="J11" s="16"/>
      <c r="K11" s="17"/>
      <c r="L11" s="7"/>
      <c r="M11" s="28"/>
      <c r="N11" s="168"/>
      <c r="O11" s="94"/>
    </row>
    <row r="12" spans="1:15" ht="20.100000000000001" customHeight="1" x14ac:dyDescent="0.25">
      <c r="A12" s="18" t="s">
        <v>86</v>
      </c>
      <c r="B12" s="14"/>
      <c r="C12" s="15"/>
      <c r="D12" s="4"/>
      <c r="E12" s="7"/>
      <c r="F12" s="35"/>
      <c r="G12" s="4"/>
      <c r="H12" s="7"/>
      <c r="I12" s="7"/>
      <c r="J12" s="16"/>
      <c r="K12" s="17"/>
      <c r="L12" s="7"/>
      <c r="M12" s="28"/>
      <c r="N12" s="168"/>
      <c r="O12" s="94"/>
    </row>
    <row r="13" spans="1:15" ht="20.100000000000001" customHeight="1" x14ac:dyDescent="0.25">
      <c r="A13" s="19" t="s">
        <v>85</v>
      </c>
      <c r="B13" s="14"/>
      <c r="D13" s="93" t="s">
        <v>21</v>
      </c>
      <c r="E13" s="143"/>
      <c r="F13" s="4" t="s">
        <v>10</v>
      </c>
      <c r="G13" s="4"/>
      <c r="H13" s="7"/>
      <c r="I13" s="7"/>
      <c r="J13" s="16"/>
      <c r="K13" s="17"/>
      <c r="L13" s="7"/>
      <c r="M13" s="28"/>
      <c r="N13" s="168"/>
      <c r="O13" s="94"/>
    </row>
    <row r="14" spans="1:15" ht="20.100000000000001" customHeight="1" x14ac:dyDescent="0.2">
      <c r="A14" s="19" t="s">
        <v>96</v>
      </c>
      <c r="B14" s="14"/>
      <c r="D14" s="90" t="s">
        <v>31</v>
      </c>
      <c r="E14" s="184">
        <f>IF(E13&lt;=0,0,E13/2000)</f>
        <v>0</v>
      </c>
      <c r="F14" s="4" t="s">
        <v>24</v>
      </c>
      <c r="G14" s="4"/>
      <c r="H14" s="7"/>
      <c r="I14" s="7"/>
      <c r="J14" s="9"/>
      <c r="K14" s="17"/>
      <c r="L14" s="7"/>
      <c r="M14" s="28"/>
      <c r="N14" s="35"/>
      <c r="O14" s="94"/>
    </row>
    <row r="15" spans="1:15" ht="20.100000000000001" customHeight="1" x14ac:dyDescent="0.2">
      <c r="A15" s="19" t="s">
        <v>79</v>
      </c>
      <c r="B15" s="14"/>
      <c r="D15" s="102" t="s">
        <v>39</v>
      </c>
      <c r="E15" s="147"/>
      <c r="F15" s="4"/>
      <c r="G15" s="4"/>
      <c r="H15" s="7"/>
      <c r="I15" s="7"/>
      <c r="J15" s="9"/>
      <c r="K15" s="17"/>
      <c r="L15" s="7"/>
      <c r="M15" s="28"/>
      <c r="N15" s="35"/>
      <c r="O15" s="94"/>
    </row>
    <row r="16" spans="1:15" ht="15" customHeight="1" x14ac:dyDescent="0.2">
      <c r="A16" s="41"/>
      <c r="B16" s="35"/>
      <c r="D16" s="35"/>
      <c r="E16" s="35"/>
      <c r="F16" s="35"/>
      <c r="G16" s="4"/>
      <c r="H16" s="7"/>
      <c r="I16" s="7"/>
      <c r="J16" s="9"/>
      <c r="K16" s="17"/>
      <c r="L16" s="7"/>
      <c r="M16" s="28"/>
      <c r="N16" s="35"/>
      <c r="O16" s="94"/>
    </row>
    <row r="17" spans="1:17" ht="20.100000000000001" customHeight="1" x14ac:dyDescent="0.2">
      <c r="A17" s="190" t="s">
        <v>95</v>
      </c>
      <c r="B17" s="187"/>
      <c r="C17" s="187"/>
      <c r="D17" s="173" t="s">
        <v>90</v>
      </c>
      <c r="E17" s="147"/>
      <c r="F17" s="4" t="s">
        <v>24</v>
      </c>
      <c r="G17" s="4"/>
      <c r="H17" s="7"/>
      <c r="I17" s="7"/>
      <c r="J17" s="9"/>
      <c r="K17" s="17"/>
      <c r="L17" s="7"/>
      <c r="M17" s="28"/>
      <c r="N17" s="35"/>
      <c r="O17" s="94"/>
    </row>
    <row r="18" spans="1:17" ht="15" customHeight="1" x14ac:dyDescent="0.2">
      <c r="A18" s="107"/>
      <c r="B18" s="4"/>
      <c r="C18" s="4"/>
      <c r="D18" s="164"/>
      <c r="E18" s="4"/>
      <c r="F18" s="35"/>
      <c r="G18" s="4"/>
      <c r="H18" s="7"/>
      <c r="I18" s="7"/>
      <c r="J18" s="9"/>
      <c r="K18" s="17"/>
      <c r="L18" s="7"/>
      <c r="M18" s="28"/>
      <c r="N18" s="35"/>
      <c r="O18" s="94"/>
    </row>
    <row r="19" spans="1:17" ht="20.100000000000001" customHeight="1" x14ac:dyDescent="0.2">
      <c r="A19" s="188" t="s">
        <v>17</v>
      </c>
      <c r="B19" s="189"/>
      <c r="C19" s="189"/>
      <c r="D19" s="189"/>
      <c r="E19" s="189"/>
      <c r="F19" s="189"/>
      <c r="G19" s="4"/>
      <c r="H19" s="7"/>
      <c r="I19" s="7"/>
      <c r="J19" s="16"/>
      <c r="K19" s="17"/>
      <c r="L19" s="7"/>
      <c r="M19" s="28"/>
      <c r="N19" s="35"/>
      <c r="O19" s="94"/>
    </row>
    <row r="20" spans="1:17" ht="20.100000000000001" customHeight="1" x14ac:dyDescent="0.25">
      <c r="A20" s="190" t="s">
        <v>18</v>
      </c>
      <c r="B20" s="187"/>
      <c r="C20" s="187"/>
      <c r="D20" s="4"/>
      <c r="E20" s="4"/>
      <c r="F20" s="35"/>
      <c r="G20" s="4"/>
      <c r="H20" s="7"/>
      <c r="I20" s="35"/>
      <c r="J20" s="35"/>
      <c r="K20" s="35"/>
      <c r="L20" s="35"/>
      <c r="M20" s="28"/>
      <c r="N20" s="168"/>
      <c r="O20" s="60"/>
      <c r="Q20" s="20"/>
    </row>
    <row r="21" spans="1:17" ht="20.100000000000001" customHeight="1" x14ac:dyDescent="0.25">
      <c r="A21" s="18" t="s">
        <v>19</v>
      </c>
      <c r="B21" s="141"/>
      <c r="C21" s="15"/>
      <c r="D21" s="4"/>
      <c r="E21" s="4"/>
      <c r="F21" s="35"/>
      <c r="G21" s="4"/>
      <c r="H21" s="35"/>
      <c r="I21" s="203" t="s">
        <v>20</v>
      </c>
      <c r="J21" s="203"/>
      <c r="K21" s="203"/>
      <c r="L21" s="4"/>
      <c r="M21" s="28"/>
      <c r="N21" s="168"/>
      <c r="O21" s="60"/>
      <c r="Q21" s="20"/>
    </row>
    <row r="22" spans="1:17" ht="20.100000000000001" customHeight="1" x14ac:dyDescent="0.25">
      <c r="A22" s="21" t="s">
        <v>21</v>
      </c>
      <c r="B22" s="142" t="s">
        <v>80</v>
      </c>
      <c r="C22" s="151" t="s">
        <v>22</v>
      </c>
      <c r="D22" s="22" t="s">
        <v>70</v>
      </c>
      <c r="E22" s="22" t="s">
        <v>71</v>
      </c>
      <c r="F22" s="153" t="s">
        <v>93</v>
      </c>
      <c r="G22" s="160">
        <f>IF(A24&lt;=0,0,A24/2000)</f>
        <v>0</v>
      </c>
      <c r="H22" s="160">
        <f>IF(A25&lt;=0,0,A25/2000)</f>
        <v>0</v>
      </c>
      <c r="I22" s="73" t="s">
        <v>23</v>
      </c>
      <c r="J22" s="74"/>
      <c r="K22" s="148">
        <f>IF(B28&lt;=0,0,$B$28/2000)</f>
        <v>0</v>
      </c>
      <c r="L22" s="4" t="s">
        <v>24</v>
      </c>
      <c r="M22" s="28"/>
      <c r="N22" s="168"/>
      <c r="O22" s="60"/>
      <c r="Q22" s="20"/>
    </row>
    <row r="23" spans="1:17" ht="20.100000000000001" customHeight="1" x14ac:dyDescent="0.2">
      <c r="A23" s="23" t="s">
        <v>10</v>
      </c>
      <c r="B23" s="25" t="s">
        <v>24</v>
      </c>
      <c r="C23" s="152" t="s">
        <v>92</v>
      </c>
      <c r="D23" s="24" t="s">
        <v>24</v>
      </c>
      <c r="E23" s="25" t="s">
        <v>24</v>
      </c>
      <c r="F23" s="154" t="s">
        <v>92</v>
      </c>
      <c r="G23" s="160">
        <f>IF(A24&lt;=0,0,E17)</f>
        <v>0</v>
      </c>
      <c r="H23" s="160">
        <f>IF(A25&lt;=0,0,E17)</f>
        <v>0</v>
      </c>
      <c r="I23" s="4" t="s">
        <v>94</v>
      </c>
      <c r="J23" s="4"/>
      <c r="K23" s="144">
        <f>IF(B28&lt;=0,0,E17)</f>
        <v>0</v>
      </c>
      <c r="L23" s="29" t="s">
        <v>78</v>
      </c>
      <c r="M23" s="28"/>
      <c r="N23" s="35"/>
      <c r="O23" s="94"/>
    </row>
    <row r="24" spans="1:17" ht="20.100000000000001" customHeight="1" x14ac:dyDescent="0.2">
      <c r="A24" s="109"/>
      <c r="B24" s="149">
        <f>IF(A24&lt;=0,0,A24/1000-E17)</f>
        <v>0</v>
      </c>
      <c r="C24" s="155">
        <f>IF(OR(A24&lt;=0,G27&lt;=0),0,(($G$30+(2*$G$35/TAN(ATAN(1/$G$32))+$G$30))/2*$G$35)+(IF($G$29&lt;=$G$28,POWER($G$28,2)/2*((2*ACOS(($G$28-$G$29)/$G$28)*180/PI())*PI()/180-SIN((2*ACOS(($G$28-$G$29)/$G$28)*180/PI())*PI()/180)),IF($G$29&gt;$G$28,($G$29-$G$28)*$G$30+POWER($G$28,2)/2*(180*PI()/180-SIN(180*PI()/180)))))+(POWER($G$22,2)/2*((360-2*ACOS(($G$22-$G$23-$G$29-$G$35)/$G$22)*180/PI())*PI()/180-SIN((360-2*ACOS(($G$22-$G$23-$G$29-$G$35)/$G$22)*180/PI())*PI()/180))))</f>
        <v>0</v>
      </c>
      <c r="D24" s="44">
        <f>IF(OR(A24&lt;=0,G27&lt;=0),0,($G$22*(360-2*ACOS(($G$22-$G$23-$G$29-$G$35)/$G$22)*180/PI())*PI()/180)+(2*$G$35/SIN(ATAN(1/$G$32)*180/PI()*PI()/180))+(IF($G$29&lt;=$G$28,$G$28*(2*ACOS(($G$28-$G$29)/$G$28)*180/PI())*PI()/180,IF($G$29&gt;$G$28,$G$28*180*PI()/180+2*($G$29-$G$28)))))</f>
        <v>0</v>
      </c>
      <c r="E24" s="44">
        <f>IF(ISERROR(C24/D24),0,C24/D24)</f>
        <v>0</v>
      </c>
      <c r="F24" s="156">
        <f>IF(OR(B6&lt;=0,A24&lt;=0),0,B5/(-2*LOG(2.51*$B$9/(4*E24*SQRT(8*$B$8*E24*$B$6/1000))+$B$7/(1000*(14.84*E24)))*SQRT(8*$B$8*E24*$B$6/1000)))</f>
        <v>0</v>
      </c>
      <c r="G24" s="160">
        <f>IF(A24&lt;=0,0,A24/1000-E17)</f>
        <v>0</v>
      </c>
      <c r="H24" s="160">
        <f>IF(A25&lt;=0,0,A25/1000-E17)</f>
        <v>0</v>
      </c>
      <c r="I24" s="73" t="s">
        <v>26</v>
      </c>
      <c r="J24" s="74"/>
      <c r="K24" s="144">
        <f>B28/1000-K23</f>
        <v>0</v>
      </c>
      <c r="L24" s="92" t="s">
        <v>24</v>
      </c>
      <c r="M24" s="28"/>
      <c r="N24" s="35"/>
      <c r="O24" s="60"/>
    </row>
    <row r="25" spans="1:17" ht="20.100000000000001" customHeight="1" x14ac:dyDescent="0.2">
      <c r="A25" s="171"/>
      <c r="B25" s="150">
        <f>IF(A25&lt;=0,0,A25/1000-E17)</f>
        <v>0</v>
      </c>
      <c r="C25" s="165">
        <f>IF(OR(A25&lt;=0,H28&lt;=0),0,(($H$30+(2*$H$35/TAN(ATAN(1/$H$32)*180/PI()*PI()/180)+$H$30))/2*$H$35)+(IF($H$29&lt;=$H$28,POWER($H$28,2)/2*((2*ACOS(($H$28-$H$29)/$H$28)*180/PI())*PI()/180-SIN((2*ACOS(($H$28-$H$29)/$H$28)*180/PI())*PI()/180)),IF($H$29&gt;$H$28,($H$29-$H$28)*$H$30+POWER($H$28,2)/2*(180*PI()/180-SIN(180*PI()/180)))))+(POWER($H$22,2)/2*((360-2*ACOS(($H$22-$H$23-$H$29-$H$35)/$H$22)*180/PI())*PI()/180-SIN((360-2*ACOS(($H$22-$H$23-$H$29-$H$35)/$H$22)*180/PI())*PI()/180))))</f>
        <v>0</v>
      </c>
      <c r="D25" s="46">
        <f>IF(OR(A25&lt;=0,H28&lt;=0),0,($H$22*(360-2*ACOS(($H$22-$H$23-$H$29-$H$35)/$H$22)*180/PI())*PI()/180)+(2*$H$35/SIN(ATAN(1/$H$32)*180/PI()*PI()/180))+(IF($H$29&lt;=$H$28,$H$28*(2*ACOS(($H$28-$H$29)/$H$28)*180/PI())*PI()/180,IF($H$29&gt;$H$28,$H$28*180*PI()/180+2*($H$29-$H$28)))))</f>
        <v>0</v>
      </c>
      <c r="E25" s="46">
        <f>IF(ISERROR(C25/D25),0,C25/D25)</f>
        <v>0</v>
      </c>
      <c r="F25" s="166">
        <f>IF(OR(B6&lt;=0,A25&lt;=0),0,B5/(-2*LOG(2.51*$B$9/(4*E25*SQRT(8*$B$8*E25*$B$6/1000))+$B$7/(1000*(14.84*E25)))*SQRT(8*$B$8*E25*$B$6/1000)))</f>
        <v>0</v>
      </c>
      <c r="G25" s="160"/>
      <c r="H25" s="160"/>
      <c r="I25" s="35"/>
      <c r="J25" s="35"/>
      <c r="K25" s="35"/>
      <c r="L25" s="35"/>
      <c r="M25" s="28"/>
      <c r="N25" s="35"/>
      <c r="O25" s="94"/>
    </row>
    <row r="26" spans="1:17" ht="20.100000000000001" customHeight="1" x14ac:dyDescent="0.25">
      <c r="A26" s="26"/>
      <c r="B26" s="27"/>
      <c r="C26" s="28"/>
      <c r="D26" s="28"/>
      <c r="E26" s="28"/>
      <c r="F26" s="35"/>
      <c r="G26" s="160"/>
      <c r="H26" s="160"/>
      <c r="I26" s="203" t="s">
        <v>27</v>
      </c>
      <c r="J26" s="203"/>
      <c r="K26" s="203"/>
      <c r="L26" s="35"/>
      <c r="M26" s="28"/>
      <c r="N26" s="35"/>
      <c r="O26" s="94"/>
    </row>
    <row r="27" spans="1:17" ht="20.100000000000001" customHeight="1" x14ac:dyDescent="0.25">
      <c r="A27" s="30" t="s">
        <v>28</v>
      </c>
      <c r="B27" s="31"/>
      <c r="C27" s="4"/>
      <c r="D27" s="4"/>
      <c r="E27" s="4"/>
      <c r="F27" s="35"/>
      <c r="G27" s="160">
        <f>IF(A24&lt;=0,0,E13)</f>
        <v>0</v>
      </c>
      <c r="H27" s="160">
        <f>IF(A25&lt;=0,0,E13)</f>
        <v>0</v>
      </c>
      <c r="I27" s="4" t="s">
        <v>84</v>
      </c>
      <c r="J27" s="32"/>
      <c r="K27" s="145">
        <f>IF($B$28&lt;=0,0,$E$13)</f>
        <v>0</v>
      </c>
      <c r="L27" s="29" t="s">
        <v>10</v>
      </c>
      <c r="M27" s="28"/>
      <c r="N27" s="168"/>
      <c r="O27" s="60"/>
      <c r="Q27" s="20"/>
    </row>
    <row r="28" spans="1:17" ht="20.100000000000001" customHeight="1" x14ac:dyDescent="0.2">
      <c r="A28" s="33" t="s">
        <v>21</v>
      </c>
      <c r="B28" s="172"/>
      <c r="C28" s="4" t="s">
        <v>10</v>
      </c>
      <c r="D28" s="191" t="s">
        <v>29</v>
      </c>
      <c r="E28" s="192"/>
      <c r="F28" s="35"/>
      <c r="G28" s="160">
        <f>IF(A24&lt;=0,0,E13/2000)</f>
        <v>0</v>
      </c>
      <c r="H28" s="160">
        <f>IF(A25&lt;=0,0,E13/2000)</f>
        <v>0</v>
      </c>
      <c r="I28" s="4" t="s">
        <v>30</v>
      </c>
      <c r="J28" s="4"/>
      <c r="K28" s="48">
        <f>IF($K$27&lt;=0,0,$K$27/2000)</f>
        <v>0</v>
      </c>
      <c r="L28" s="29" t="s">
        <v>24</v>
      </c>
      <c r="M28" s="28"/>
      <c r="N28" s="169"/>
      <c r="O28" s="60"/>
      <c r="Q28" s="20"/>
    </row>
    <row r="29" spans="1:17" ht="20.100000000000001" customHeight="1" x14ac:dyDescent="0.25">
      <c r="A29" s="8"/>
      <c r="B29" s="34"/>
      <c r="C29" s="4"/>
      <c r="D29" s="4"/>
      <c r="E29" s="4"/>
      <c r="F29" s="35"/>
      <c r="G29" s="160">
        <f>IF(A24&lt;=0,0,E14)</f>
        <v>0</v>
      </c>
      <c r="H29" s="160">
        <f>IF(A25&lt;=0,0,E14)</f>
        <v>0</v>
      </c>
      <c r="I29" s="4" t="s">
        <v>31</v>
      </c>
      <c r="J29" s="35"/>
      <c r="K29" s="48">
        <f>IF($B$28&lt;=0,0,$E$14)</f>
        <v>0</v>
      </c>
      <c r="L29" s="4" t="s">
        <v>24</v>
      </c>
      <c r="M29" s="28"/>
      <c r="N29" s="168"/>
      <c r="O29" s="60"/>
      <c r="Q29" s="20"/>
    </row>
    <row r="30" spans="1:17" ht="20.100000000000001" customHeight="1" x14ac:dyDescent="0.2">
      <c r="A30" s="8" t="s">
        <v>32</v>
      </c>
      <c r="B30" s="44">
        <f>IF(OR(B28&lt;=0,K27&lt;=0),0,(($K$30+(2*$K$35/TAN(ATAN(1/$K$32)*180/PI()*PI()/180)+$K$30))/2*$K$35)+(IF($K$29&lt;=$K$28,POWER($K$28,2)/2*((2*ACOS(($K$28-$K$29)/$K$28)*180/PI())*PI()/180-SIN((2*ACOS(($K$28-$K$29)/$K$28)*180/PI())*PI()/180)),IF($K$29&gt;$K$28,($K$29-$K$28)*$K$30+POWER($K$28,2)/2*(180*PI()/180-SIN(180*PI()/180)))))+(POWER($K$22,2)/2*((360-2*ACOS(($K$22-$K$23-$K$29-$K$35)/$K$22)*180/PI())*PI()/180-SIN((360-2*ACOS(($K$22-$K$23-$K$29-$K$35)/$K$22)*180/PI())*PI()/180))))</f>
        <v>0</v>
      </c>
      <c r="C30" s="4" t="s">
        <v>25</v>
      </c>
      <c r="D30" s="187" t="s">
        <v>33</v>
      </c>
      <c r="E30" s="187"/>
      <c r="F30" s="35"/>
      <c r="G30" s="160">
        <f>IF(OR(G27&lt;=0,A24&lt;=0),0,IF($G$29&lt;=$G$28,2*SIN(ACOS(($G$28-$G$29)/$G$28))*$G$28,$G$28*2))</f>
        <v>0</v>
      </c>
      <c r="H30" s="160">
        <f>IF(OR(H27&lt;=0,A25&lt;=0),0,IF($H$29&lt;=$H$28,2*SIN(ACOS(($H$28-$H$29)/$H$28))*$H$28,$H$28*2))</f>
        <v>0</v>
      </c>
      <c r="I30" s="4" t="s">
        <v>34</v>
      </c>
      <c r="J30" s="4"/>
      <c r="K30" s="45">
        <f>IF(OR($B$28&lt;=0,$K$27&lt;=0),0,IF($K$29&lt;=$K$28,2*SIN(ACOS(($K$28-$K$29)/$K$28)*180/PI()*PI()/180)*$K$28,$K$28*2))</f>
        <v>0</v>
      </c>
      <c r="L30" s="29" t="s">
        <v>24</v>
      </c>
      <c r="M30" s="28"/>
      <c r="N30" s="35"/>
      <c r="O30" s="94"/>
    </row>
    <row r="31" spans="1:17" ht="20.100000000000001" customHeight="1" x14ac:dyDescent="0.25">
      <c r="A31" s="8" t="s">
        <v>35</v>
      </c>
      <c r="B31" s="44">
        <f>IF(OR(B28&lt;=0,K27&lt;=0),0,($K$22*(360-2*ACOS(($K$22-$K$23-$K$29-$K$35)/$K$22)*180/PI())*PI()/180)+(2*$K$35/SIN(ATAN(1/$K$32)*180/PI()*PI()/180))+(IF($K$29&lt;=$K$28,$K$28*(2*ACOS(($K$28-$K$29)/$K$28)*180/PI())*PI()/180,IF($K$29&gt;$K$28,$K$28*180*PI()/180+2*($K$29-$K$28)))))</f>
        <v>0</v>
      </c>
      <c r="C31" s="4" t="s">
        <v>24</v>
      </c>
      <c r="D31" s="187" t="s">
        <v>36</v>
      </c>
      <c r="E31" s="187"/>
      <c r="F31" s="35"/>
      <c r="G31" s="160"/>
      <c r="H31" s="160"/>
      <c r="I31" s="203" t="s">
        <v>37</v>
      </c>
      <c r="J31" s="203"/>
      <c r="K31" s="203"/>
      <c r="L31" s="35"/>
      <c r="M31" s="4"/>
      <c r="N31" s="35"/>
      <c r="O31" s="95"/>
      <c r="Q31" s="36"/>
    </row>
    <row r="32" spans="1:17" ht="20.100000000000001" customHeight="1" x14ac:dyDescent="0.2">
      <c r="A32" s="8"/>
      <c r="B32" s="28"/>
      <c r="C32" s="4"/>
      <c r="D32" s="4"/>
      <c r="E32" s="4"/>
      <c r="F32" s="35"/>
      <c r="G32" s="160">
        <f>IF(A24&lt;=0,0,E15)</f>
        <v>0</v>
      </c>
      <c r="H32" s="160">
        <f>IF(A25&lt;=0,0,E15)</f>
        <v>0</v>
      </c>
      <c r="I32" s="4" t="s">
        <v>38</v>
      </c>
      <c r="J32" s="37" t="s">
        <v>39</v>
      </c>
      <c r="K32" s="144">
        <f>IF($B$28&lt;=0,0,$E$15)</f>
        <v>0</v>
      </c>
      <c r="L32" s="38"/>
      <c r="M32" s="4"/>
      <c r="N32" s="35"/>
      <c r="O32" s="95"/>
    </row>
    <row r="33" spans="1:17" ht="20.100000000000001" customHeight="1" x14ac:dyDescent="0.25">
      <c r="A33" s="39" t="s">
        <v>72</v>
      </c>
      <c r="B33" s="185">
        <f>IF(OR(B28&lt;=0,B6&lt;=0),0,-2*LOG(2.51*$B$9/(4*B30/B31*SQRT(8*$B$8*B30/B31*$B$6/1000))+$B$7/(1000*(14.84*B30/B31)))*SQRT(8*$B$8*B30/B31*$B$6/1000))</f>
        <v>0</v>
      </c>
      <c r="C33" s="7" t="s">
        <v>40</v>
      </c>
      <c r="D33" s="189" t="s">
        <v>41</v>
      </c>
      <c r="E33" s="192"/>
      <c r="F33" s="192"/>
      <c r="G33" s="160"/>
      <c r="H33" s="160"/>
      <c r="I33" s="203" t="s">
        <v>42</v>
      </c>
      <c r="J33" s="203"/>
      <c r="K33" s="203"/>
      <c r="L33" s="35"/>
      <c r="M33" s="4"/>
      <c r="N33" s="35"/>
      <c r="O33" s="95"/>
    </row>
    <row r="34" spans="1:17" ht="20.100000000000001" customHeight="1" x14ac:dyDescent="0.2">
      <c r="A34" s="39" t="s">
        <v>73</v>
      </c>
      <c r="B34" s="186">
        <f>B33*B30</f>
        <v>0</v>
      </c>
      <c r="C34" s="4" t="s">
        <v>4</v>
      </c>
      <c r="D34" s="189" t="s">
        <v>43</v>
      </c>
      <c r="E34" s="192"/>
      <c r="F34" s="192"/>
      <c r="G34" s="160">
        <f>IF(OR(G27&lt;=0,A24&lt;=0),0,(($G$22-$G$29-$G$23)-$G$22*COS(((180-(ASIN(((($G$22-$G$23-$G$29)/COS(ATAN(($G$30/2)/($G$22-$G$23-$G$29))))/$G$22)*SIN((180-(90-ATAN(($G$30/2)/($G$22-$G$23-$G$29))*180/PI())-ATAN(1/$G$32)*180/PI())*PI()/180))*180/PI())-(180-(90-ATAN(($G$30/2)/($G$22-$G$23-$G$29))*180/PI())-ATAN(1/$G$32)*180/PI()))+ATAN(($G$30/2)/($G$22-$G$23-$G$29))*180/PI())*PI()/180))/TAN(ATAN(1/$G$32)))</f>
        <v>0</v>
      </c>
      <c r="H34" s="160">
        <f>IF(OR(H27&lt;=0,A25&lt;=0),0,(($H$22-$H$29-$H$23)-$H$22*COS(((180-(ASIN(((($H$22-$H$23-$H$29)/COS(ATAN(($H$30/2)/($H$22-$H$23-$H$29))))/$H$22)*SIN((180-(90-ATAN(($H$30/2)/($H$22-$H$23-$H$29))*180/PI())-ATAN(1/$H$32)*180/PI())*PI()/180))*180/PI())-(180-(90-ATAN(($H$30/2)/($H$22-$H$23-$H$29))*180/PI())-ATAN(1/$H$32)*180/PI()))+ATAN(($H$30/2)/($H$22-$H$23-$H$29))*180/PI())*PI()/180))/TAN(ATAN(1/$H$32)))</f>
        <v>0</v>
      </c>
      <c r="I34" s="40" t="s">
        <v>74</v>
      </c>
      <c r="J34" s="40"/>
      <c r="K34" s="45">
        <f>IF(OR($B$28&lt;=0,$K$27&lt;=0),0,(($K$22-$K$29-$K$23)-$K$22*COS(((180-(ASIN(((($K$22-$K$23-$K$29)/COS(ATAN(($K$30/2)/($K$22-$K$23-$K$29))))/$K$22)*SIN((180-(90-ATAN(($K$30/2)/($K$22-$K$23-$K$29))*180/PI())-ATAN(1/$K$32)*180/PI())*PI()/180))*180/PI())-(180-(90-ATAN(($K$30/2)/($K$22-$K$23-$K$29))*180/PI())-ATAN(1/$K$32)*180/PI()))+ATAN(($K$30/2)/($K$22-$K$23-$K$29))*180/PI())*PI()/180))/TAN(ATAN(1/$K$32)))</f>
        <v>0</v>
      </c>
      <c r="L34" s="38" t="s">
        <v>24</v>
      </c>
      <c r="M34" s="4"/>
      <c r="N34" s="35"/>
      <c r="O34" s="95"/>
      <c r="Q34" s="36"/>
    </row>
    <row r="35" spans="1:17" ht="20.100000000000001" customHeight="1" x14ac:dyDescent="0.2">
      <c r="A35" s="41"/>
      <c r="B35" s="35"/>
      <c r="C35" s="35"/>
      <c r="D35" s="35"/>
      <c r="E35" s="35"/>
      <c r="F35" s="35"/>
      <c r="G35" s="160">
        <f>IF(OR(G27&lt;=0,A24&lt;=0),0,($G$22-$G$29-$G$23)-$G$22*COS(((180-(ASIN(((($G$22-$G$23-$G$29)/COS(ATAN(($G$30/2)/($G$22-$G$23-$G$29))))/$G$22)*SIN((180-(90-ATAN(($G$30/2)/($G$22-$G$23-$G$29))*180/PI())-ATAN(1/$G$32)*180/PI())*PI()/180))*180/PI())-(180-(90-ATAN(($G$30/2)/($G$22-$G$23-$G$29))*180/PI())-ATAN(1/$G$32)*180/PI()))+ATAN(($G$30/2)/($G$22-$G$23-$G$29))*180/PI())*PI()/180))</f>
        <v>0</v>
      </c>
      <c r="H35" s="160">
        <f>IF(OR(H27&lt;=0,A25&lt;=0),0,($H$22-$H$29-$H$23)-$H$22*COS(((180-(ASIN(((($H$22-$H$23-$H$29)/COS(ATAN(($H$30/2)/($H$22-$H$23-$H$29))))/$H$22)*SIN((180-(90-ATAN(($H$30/2)/($H$22-$H$23-$H$29))*180/PI())-ATAN(1/$H$32)*180/PI())*PI()/180))*180/PI())-(180-(90-ATAN(($H$30/2)/($H$22-$H$23-$H$29))*180/PI())-ATAN(1/$H$32)*180/PI()))+ATAN(($H$30/2)/($H$22-$H$23-$H$29))*180/PI())*PI()/180))</f>
        <v>0</v>
      </c>
      <c r="I35" s="4" t="s">
        <v>44</v>
      </c>
      <c r="J35" s="4"/>
      <c r="K35" s="146">
        <f>IF(OR(B28&lt;=0,K27&lt;=0),0,($K$22-$K$29-$K$23)-$K$22*COS(((180-(ASIN(((($K$22-$K$23-$K$29)/COS(ATAN(($K$30/2)/($K$22-$K$23-$K$29))*180/PI()*PI()/180))/$K$22)*SIN((180-(90-ATAN(($K$30/2)/($K$22-$K$23-$K$29))*180/PI())-ATAN(1/$K$32)*180/PI())*PI()/180))*180/PI())-(180-(90-ATAN(($K$30/2)/($K$22-$K$23-$K$29))*180/PI())-ATAN(1/$K$32)*180/PI()))+ATAN(($K$30/2)/($K$22-$K$23-$K$29))*180/PI())*PI()/180))</f>
        <v>0</v>
      </c>
      <c r="L35" s="38" t="s">
        <v>24</v>
      </c>
      <c r="M35" s="4"/>
      <c r="N35" s="35"/>
      <c r="O35" s="95"/>
      <c r="Q35" s="36"/>
    </row>
    <row r="36" spans="1:17" ht="18" customHeight="1" x14ac:dyDescent="0.2">
      <c r="A36" s="41"/>
      <c r="B36" s="35"/>
      <c r="C36" s="35"/>
      <c r="D36" s="35"/>
      <c r="E36" s="35"/>
      <c r="F36" s="35"/>
      <c r="G36" s="4"/>
      <c r="H36" s="90"/>
      <c r="I36" s="4"/>
      <c r="J36" s="4"/>
      <c r="K36" s="106"/>
      <c r="L36" s="38"/>
      <c r="M36" s="4"/>
      <c r="N36" s="35"/>
      <c r="O36" s="95"/>
      <c r="Q36" s="36"/>
    </row>
    <row r="37" spans="1:17" ht="20.100000000000001" customHeight="1" x14ac:dyDescent="0.2">
      <c r="A37" s="216" t="s">
        <v>87</v>
      </c>
      <c r="B37" s="195" t="s">
        <v>45</v>
      </c>
      <c r="C37" s="196"/>
      <c r="D37" s="110"/>
      <c r="E37" s="110"/>
      <c r="F37" s="110"/>
      <c r="G37" s="110"/>
      <c r="H37" s="110"/>
      <c r="I37" s="110"/>
      <c r="J37" s="110"/>
      <c r="K37" s="110"/>
      <c r="L37" s="121"/>
      <c r="M37" s="4"/>
      <c r="N37" s="35"/>
      <c r="O37" s="94"/>
    </row>
    <row r="38" spans="1:17" ht="45" customHeight="1" x14ac:dyDescent="0.2">
      <c r="A38" s="217"/>
      <c r="B38" s="111" t="s">
        <v>46</v>
      </c>
      <c r="C38" s="104" t="s">
        <v>47</v>
      </c>
      <c r="D38" s="104" t="s">
        <v>48</v>
      </c>
      <c r="E38" s="104" t="s">
        <v>49</v>
      </c>
      <c r="F38" s="104" t="s">
        <v>50</v>
      </c>
      <c r="G38" s="105" t="s">
        <v>51</v>
      </c>
      <c r="H38" s="104" t="s">
        <v>52</v>
      </c>
      <c r="I38" s="104" t="s">
        <v>53</v>
      </c>
      <c r="J38" s="104" t="s">
        <v>54</v>
      </c>
      <c r="K38" s="104" t="s">
        <v>55</v>
      </c>
      <c r="L38" s="122" t="s">
        <v>56</v>
      </c>
      <c r="M38" s="4"/>
      <c r="N38" s="35"/>
      <c r="O38" s="94"/>
    </row>
    <row r="39" spans="1:17" ht="20.100000000000001" customHeight="1" x14ac:dyDescent="0.2">
      <c r="A39" s="118" t="s">
        <v>89</v>
      </c>
      <c r="B39" s="112" t="s">
        <v>57</v>
      </c>
      <c r="C39" s="42" t="s">
        <v>58</v>
      </c>
      <c r="D39" s="42" t="s">
        <v>59</v>
      </c>
      <c r="E39" s="42" t="s">
        <v>60</v>
      </c>
      <c r="F39" s="42" t="s">
        <v>61</v>
      </c>
      <c r="G39" s="25" t="s">
        <v>62</v>
      </c>
      <c r="H39" s="42" t="s">
        <v>63</v>
      </c>
      <c r="I39" s="42" t="s">
        <v>64</v>
      </c>
      <c r="J39" s="25" t="s">
        <v>65</v>
      </c>
      <c r="K39" s="25" t="s">
        <v>66</v>
      </c>
      <c r="L39" s="123" t="s">
        <v>67</v>
      </c>
      <c r="M39" s="218" t="s">
        <v>81</v>
      </c>
      <c r="N39" s="219"/>
      <c r="O39" s="95"/>
      <c r="Q39" s="36"/>
    </row>
    <row r="40" spans="1:17" ht="20.100000000000001" customHeight="1" x14ac:dyDescent="0.25">
      <c r="A40" s="130" t="s">
        <v>24</v>
      </c>
      <c r="B40" s="131" t="s">
        <v>24</v>
      </c>
      <c r="C40" s="43" t="s">
        <v>25</v>
      </c>
      <c r="D40" s="43" t="s">
        <v>24</v>
      </c>
      <c r="E40" s="43" t="s">
        <v>24</v>
      </c>
      <c r="F40" s="43" t="s">
        <v>40</v>
      </c>
      <c r="G40" s="43" t="s">
        <v>4</v>
      </c>
      <c r="H40" s="43" t="s">
        <v>68</v>
      </c>
      <c r="I40" s="43" t="s">
        <v>24</v>
      </c>
      <c r="J40" s="43" t="s">
        <v>68</v>
      </c>
      <c r="K40" s="43" t="s">
        <v>24</v>
      </c>
      <c r="L40" s="132" t="s">
        <v>69</v>
      </c>
      <c r="M40" s="4"/>
      <c r="N40" s="168"/>
      <c r="O40" s="94"/>
    </row>
    <row r="41" spans="1:17" ht="20.100000000000001" customHeight="1" x14ac:dyDescent="0.2">
      <c r="A41" s="179">
        <f t="shared" ref="A41:A54" si="0">$A$56+B41</f>
        <v>0</v>
      </c>
      <c r="B41" s="120">
        <f t="shared" ref="B41:B48" si="1">IF($B$55&lt;=0,0,B42+($K$24-$K$29-$K$35)/9)</f>
        <v>0</v>
      </c>
      <c r="C41" s="75">
        <f>IF(B41&lt;=0,0,POWER($K$22,2)*PI()-POWER($K$22,2)/2*((2*ACOS((1-(($B$50+$K$23)/$K$22)))*180/PI())*PI()/180-SIN((2*ACOS((1-(($B$50+$K$23)/$K$22)))*180/PI())*PI()/180))+$C$50)</f>
        <v>0</v>
      </c>
      <c r="D41" s="75">
        <f>IF(OR(B28&lt;=0,B41&lt;=0),0,2*K22*PI()-$K$22*(2*ACOS((1-(($B$50+$K$23)/$K$22)))*180/PI())*PI()/180+$D$50)</f>
        <v>0</v>
      </c>
      <c r="E41" s="75">
        <f t="shared" ref="E41:E55" si="2">IF(ISERROR(C41/D41),0,C41/D41)</f>
        <v>0</v>
      </c>
      <c r="F41" s="76">
        <f>IF(OR($B$6&lt;=0,B41&lt;=0),0,-2*LOG(2.51*$B$9/(4*C41/D41*SQRT(8*$B$8*C41/D41*$B$6/1000))+$B$7/(1000*(14.84*C41/D41)))*SQRT(8*$B$8*C41/D41*$B$6/1000))</f>
        <v>0</v>
      </c>
      <c r="G41" s="77">
        <f t="shared" ref="G41:G55" si="3">F41*C41</f>
        <v>0</v>
      </c>
      <c r="H41" s="78">
        <f t="shared" ref="H41:H55" si="4">IF(ISERROR(G41/$B$34),0,G41/$B$34)</f>
        <v>0</v>
      </c>
      <c r="I41" s="75">
        <f>IF(B41&lt;=0,0,IF(ISERROR(K22/1000*SIN(PI()-(4*ASIN(SQRT((B41+K23)/(K22/1000))))/2)),0,K22/1000*SIN(PI()-(4*ASIN(SQRT((B41+K23)/(K22/1000))))/2)))</f>
        <v>0</v>
      </c>
      <c r="J41" s="78">
        <f t="shared" ref="J41:J55" si="5">IF(ISERROR(F41/SQRT(($B$8*C41)/I41)),0,F41/SQRT(($B$8*C41)/I41))</f>
        <v>0</v>
      </c>
      <c r="K41" s="75">
        <f t="shared" ref="K41:K55" si="6">IF(G41&lt;=0,0,IF(ISERROR(B41+POWER(F41,2)/(2*$B$8)),0,B41+POWER(F41,2)/(2*$B$8)))</f>
        <v>0</v>
      </c>
      <c r="L41" s="129">
        <f t="shared" ref="L41:L55" si="7">$B$8*$B$6*E41</f>
        <v>0</v>
      </c>
      <c r="M41" s="4"/>
      <c r="N41" s="35"/>
      <c r="O41" s="60"/>
      <c r="Q41" s="20"/>
    </row>
    <row r="42" spans="1:17" ht="20.100000000000001" customHeight="1" x14ac:dyDescent="0.2">
      <c r="A42" s="180">
        <f t="shared" si="0"/>
        <v>0</v>
      </c>
      <c r="B42" s="113">
        <f t="shared" si="1"/>
        <v>0</v>
      </c>
      <c r="C42" s="79">
        <f>IF(OR($B$28&lt;=0,B42&lt;=0),0,POWER($K$22,2)/2*((2*ACOS((1-((B42+$K$23)/$K$22)))*180/PI())*PI()/180-SIN((2*ACOS((1-((B42+$K$23)/$K$22)))*180/PI())*PI()/180))-POWER($K$22,2)/2*((2*ACOS((1-(($B$50+$K$23)/$K$22)))*180/PI())*PI()/180-SIN((2*ACOS((1-(($B$50+$K$23)/$K$22)))*180/PI())*PI()/180))+$C$50)</f>
        <v>0</v>
      </c>
      <c r="D42" s="79">
        <f>IF(OR(B28&lt;=0,B42&lt;=0),0,$K$22*(2*ACOS((1-((B42+$K$23)/$K$22)))*180/PI())*PI()/180-$K$22*(2*ACOS((1-(($B$50+$K$23)/$K$22)))*180/PI())*PI()/180+$D$50)</f>
        <v>0</v>
      </c>
      <c r="E42" s="79">
        <f t="shared" si="2"/>
        <v>0</v>
      </c>
      <c r="F42" s="76">
        <f t="shared" ref="F42:F55" si="8">IF(OR($B$6&lt;=0,B42&lt;=0),0,-2*LOG(2.51*$B$9/(4*C42/D42*SQRT(8*$B$8*C42/D42*$B$6/1000))+$B$7/(1000*(14.84*C42/D42)))*SQRT(8*$B$8*C42/D42*$B$6/1000))</f>
        <v>0</v>
      </c>
      <c r="G42" s="80">
        <f t="shared" si="3"/>
        <v>0</v>
      </c>
      <c r="H42" s="81">
        <f t="shared" si="4"/>
        <v>0</v>
      </c>
      <c r="I42" s="79">
        <f>IF(AND(B28&lt;=0,K27&lt;=0),0,(2*$K$22*SIN((2*ACOS((1-((B42+$K$23)/$K$22)))*180/PI())/2*PI()/180)))</f>
        <v>0</v>
      </c>
      <c r="J42" s="81">
        <f t="shared" si="5"/>
        <v>0</v>
      </c>
      <c r="K42" s="79">
        <f t="shared" si="6"/>
        <v>0</v>
      </c>
      <c r="L42" s="124">
        <f t="shared" si="7"/>
        <v>0</v>
      </c>
      <c r="M42" s="4"/>
      <c r="N42" s="35"/>
      <c r="O42" s="60"/>
      <c r="Q42" s="20"/>
    </row>
    <row r="43" spans="1:17" ht="20.100000000000001" customHeight="1" x14ac:dyDescent="0.2">
      <c r="A43" s="180">
        <f t="shared" si="0"/>
        <v>0</v>
      </c>
      <c r="B43" s="113">
        <f t="shared" si="1"/>
        <v>0</v>
      </c>
      <c r="C43" s="79">
        <f>IF(OR(B28&lt;=0,B43&lt;=0),0,POWER($K$22,2)/2*((2*ACOS((1-((B43+$K$23)/$K$22)))*180/PI())*PI()/180-SIN((2*ACOS((1-((B43+$K$23)/$K$22)))*180/PI())*PI()/180))-POWER($K$22,2)/2*((2*ACOS((1-(($B$50+$K$23)/$K$22)))*180/PI())*PI()/180-SIN((2*ACOS((1-(($B$50+$K$23)/$K$22)))*180/PI())*PI()/180))+$C$50)</f>
        <v>0</v>
      </c>
      <c r="D43" s="79">
        <f>IF(OR(B28&lt;=0,B43&lt;=0),0,$K$22*(2*ACOS((1-((B43+$K$23)/$K$22)))*180/PI())*PI()/180-$K$22*(2*ACOS((1-(($B$50+$K$23)/$K$22)))*180/PI())*PI()/180+$D$50)</f>
        <v>0</v>
      </c>
      <c r="E43" s="79">
        <f t="shared" si="2"/>
        <v>0</v>
      </c>
      <c r="F43" s="76">
        <f t="shared" si="8"/>
        <v>0</v>
      </c>
      <c r="G43" s="80">
        <f t="shared" si="3"/>
        <v>0</v>
      </c>
      <c r="H43" s="81">
        <f t="shared" si="4"/>
        <v>0</v>
      </c>
      <c r="I43" s="79">
        <f>IF(AND(B28&lt;=0,K27&lt;=0),0,(2*$K$22*SIN((2*ACOS((1-((B43+$K$23)/$K$22)))*180/PI())/2*PI()/180)))</f>
        <v>0</v>
      </c>
      <c r="J43" s="81">
        <f t="shared" si="5"/>
        <v>0</v>
      </c>
      <c r="K43" s="79">
        <f t="shared" si="6"/>
        <v>0</v>
      </c>
      <c r="L43" s="124">
        <f t="shared" si="7"/>
        <v>0</v>
      </c>
      <c r="M43" s="4"/>
      <c r="N43" s="201" t="s">
        <v>91</v>
      </c>
      <c r="O43" s="208">
        <f>K24-K29-K35</f>
        <v>0</v>
      </c>
    </row>
    <row r="44" spans="1:17" ht="20.100000000000001" customHeight="1" x14ac:dyDescent="0.2">
      <c r="A44" s="180">
        <f t="shared" si="0"/>
        <v>0</v>
      </c>
      <c r="B44" s="113">
        <f t="shared" si="1"/>
        <v>0</v>
      </c>
      <c r="C44" s="79">
        <f>IF(OR(B28&lt;=0,B44&lt;=0),0,POWER($K$22,2)/2*((2*ACOS((1-((B44+$K$23)/$K$22)))*180/PI())*PI()/180-SIN((2*ACOS((1-((B44+$K$23)/$K$22)))*180/PI())*PI()/180))-POWER($K$22,2)/2*((2*ACOS((1-(($B$50+$K$23)/$K$22)))*180/PI())*PI()/180-SIN((2*ACOS((1-(($B$50+$K$23)/$K$22)))*180/PI())*PI()/180))+$C$50)</f>
        <v>0</v>
      </c>
      <c r="D44" s="79">
        <f>IF(OR(B28&lt;=0,B44&lt;=0),0,$K$22*(2*ACOS((1-((B44+$K$23)/$K$22)))*180/PI())*PI()/180-$K$22*(2*ACOS((1-(($B$50+$K$23)/$K$22)))*180/PI())*PI()/180+$D$50)</f>
        <v>0</v>
      </c>
      <c r="E44" s="79">
        <f t="shared" si="2"/>
        <v>0</v>
      </c>
      <c r="F44" s="76">
        <f t="shared" si="8"/>
        <v>0</v>
      </c>
      <c r="G44" s="80">
        <f t="shared" si="3"/>
        <v>0</v>
      </c>
      <c r="H44" s="81">
        <f t="shared" si="4"/>
        <v>0</v>
      </c>
      <c r="I44" s="79">
        <f>IF(AND(B28&lt;=0,K27&lt;=0),0,(2*$K$22*SIN((2*ACOS((1-((B44+$K$23)/$K$22)))*180/PI())/2*PI()/180)))</f>
        <v>0</v>
      </c>
      <c r="J44" s="81">
        <f t="shared" si="5"/>
        <v>0</v>
      </c>
      <c r="K44" s="79">
        <f t="shared" si="6"/>
        <v>0</v>
      </c>
      <c r="L44" s="124">
        <f t="shared" si="7"/>
        <v>0</v>
      </c>
      <c r="M44" s="4"/>
      <c r="N44" s="201"/>
      <c r="O44" s="209"/>
      <c r="Q44" s="20"/>
    </row>
    <row r="45" spans="1:17" ht="20.100000000000001" customHeight="1" x14ac:dyDescent="0.2">
      <c r="A45" s="180">
        <f t="shared" si="0"/>
        <v>0</v>
      </c>
      <c r="B45" s="113">
        <f t="shared" si="1"/>
        <v>0</v>
      </c>
      <c r="C45" s="79">
        <f>IF(OR(B28&lt;=0,B45&lt;=0),0,POWER($K$22,2)/2*((2*ACOS((1-((B45+$K$23)/$K$22)))*180/PI())*PI()/180-SIN((2*ACOS((1-((B45+$K$23)/$K$22)))*180/PI())*PI()/180))-POWER($K$22,2)/2*((2*ACOS((1-(($B$50+$K$23)/$K$22)))*180/PI())*PI()/180-SIN((2*ACOS((1-(($B$50+$K$23)/$K$22)))*180/PI())*PI()/180))+$C$50)</f>
        <v>0</v>
      </c>
      <c r="D45" s="79">
        <f>IF(OR(B28&lt;=0,B45&lt;=0),0,$K$22*(2*ACOS((1-((B45+$K$23)/$K$22)))*180/PI())*PI()/180-$K$22*(2*ACOS((1-(($B$50+$K$23)/$K$22)))*180/PI())*PI()/180+$D$50)</f>
        <v>0</v>
      </c>
      <c r="E45" s="79">
        <f t="shared" si="2"/>
        <v>0</v>
      </c>
      <c r="F45" s="76">
        <f t="shared" si="8"/>
        <v>0</v>
      </c>
      <c r="G45" s="80">
        <f t="shared" si="3"/>
        <v>0</v>
      </c>
      <c r="H45" s="81">
        <f t="shared" si="4"/>
        <v>0</v>
      </c>
      <c r="I45" s="79">
        <f>IF(AND(B28&lt;=0,K27&lt;=0),0,(2*$K$22*SIN((2*ACOS((1-((B45+$K$23)/$K$22)))*180/PI())/2*PI()/180)))</f>
        <v>0</v>
      </c>
      <c r="J45" s="81">
        <f t="shared" si="5"/>
        <v>0</v>
      </c>
      <c r="K45" s="79">
        <f t="shared" si="6"/>
        <v>0</v>
      </c>
      <c r="L45" s="124">
        <f t="shared" si="7"/>
        <v>0</v>
      </c>
      <c r="M45" s="4"/>
      <c r="N45" s="201"/>
      <c r="O45" s="209"/>
      <c r="Q45" s="20"/>
    </row>
    <row r="46" spans="1:17" ht="20.100000000000001" customHeight="1" x14ac:dyDescent="0.2">
      <c r="A46" s="180">
        <f t="shared" si="0"/>
        <v>0</v>
      </c>
      <c r="B46" s="113">
        <f t="shared" si="1"/>
        <v>0</v>
      </c>
      <c r="C46" s="79">
        <f>IF(OR(B28&lt;=0,B46&lt;=0),0,POWER($K$22,2)/2*((2*ACOS((1-((B46+$K$23)/$K$22)))*180/PI())*PI()/180-SIN((2*ACOS((1-((B46+$K$23)/$K$22)))*180/PI())*PI()/180))-POWER($K$22,2)/2*((2*ACOS((1-(($B$50+$K$23)/$K$22)))*180/PI())*PI()/180-SIN((2*ACOS((1-(($B$50+$K$23)/$K$22)))*180/PI())*PI()/180))+$C$50)</f>
        <v>0</v>
      </c>
      <c r="D46" s="79">
        <f>IF(OR(B28&lt;=0,B46&lt;=0),0,$K$22*(2*ACOS((1-((B46+$K$23)/$K$22)))*180/PI())*PI()/180-$K$22*(2*ACOS((1-(($B$50+$K$23)/$K$22)))*180/PI())*PI()/180+$D$50)</f>
        <v>0</v>
      </c>
      <c r="E46" s="79">
        <f t="shared" si="2"/>
        <v>0</v>
      </c>
      <c r="F46" s="76">
        <f t="shared" si="8"/>
        <v>0</v>
      </c>
      <c r="G46" s="80">
        <f t="shared" si="3"/>
        <v>0</v>
      </c>
      <c r="H46" s="81">
        <f t="shared" si="4"/>
        <v>0</v>
      </c>
      <c r="I46" s="79">
        <f>IF(AND(B28&lt;=0,K27&lt;=0),0,(2*$K$22*SIN((2*ACOS((1-((B46+$K$23)/$K$22)))*180/PI())/2*PI()/180)))</f>
        <v>0</v>
      </c>
      <c r="J46" s="81">
        <f t="shared" si="5"/>
        <v>0</v>
      </c>
      <c r="K46" s="79">
        <f t="shared" si="6"/>
        <v>0</v>
      </c>
      <c r="L46" s="124">
        <f t="shared" si="7"/>
        <v>0</v>
      </c>
      <c r="M46" s="4"/>
      <c r="N46" s="201"/>
      <c r="O46" s="209"/>
      <c r="Q46" s="20"/>
    </row>
    <row r="47" spans="1:17" ht="20.100000000000001" customHeight="1" x14ac:dyDescent="0.2">
      <c r="A47" s="180">
        <f t="shared" si="0"/>
        <v>0</v>
      </c>
      <c r="B47" s="113">
        <f t="shared" si="1"/>
        <v>0</v>
      </c>
      <c r="C47" s="79">
        <f>IF(OR(B28&lt;=0,B47&lt;=0),0,POWER($K$22,2)/2*((2*ACOS((1-((B47+$K$23)/$K$22)))*180/PI())*PI()/180-SIN((2*ACOS((1-((B47+$K$23)/$K$22)))*180/PI())*PI()/180))-POWER($K$22,2)/2*((2*ACOS((1-(($B$50+$K$23)/$K$22)))*180/PI())*PI()/180-SIN((2*ACOS((1-(($B$50+$K$23)/$K$22)))*180/PI())*PI()/180))+$C$50)</f>
        <v>0</v>
      </c>
      <c r="D47" s="79">
        <f>IF(OR(B28&lt;=0,B47&lt;=0),0,$K$22*(2*ACOS((1-((B47+$K$23)/$K$22)))*180/PI())*PI()/180-$K$22*(2*ACOS((1-(($B$50+$K$23)/$K$22)))*180/PI())*PI()/180+$D$50)</f>
        <v>0</v>
      </c>
      <c r="E47" s="79">
        <f t="shared" si="2"/>
        <v>0</v>
      </c>
      <c r="F47" s="76">
        <f t="shared" si="8"/>
        <v>0</v>
      </c>
      <c r="G47" s="80">
        <f t="shared" si="3"/>
        <v>0</v>
      </c>
      <c r="H47" s="81">
        <f t="shared" si="4"/>
        <v>0</v>
      </c>
      <c r="I47" s="79">
        <f>IF(AND(B28&lt;=0,K27&lt;=0),0,(2*$K$22*SIN((2*ACOS((1-((B47+$K$23)/$K$22)))*180/PI())/2*PI()/180)))</f>
        <v>0</v>
      </c>
      <c r="J47" s="81">
        <f t="shared" si="5"/>
        <v>0</v>
      </c>
      <c r="K47" s="79">
        <f t="shared" si="6"/>
        <v>0</v>
      </c>
      <c r="L47" s="124">
        <f t="shared" si="7"/>
        <v>0</v>
      </c>
      <c r="M47" s="4"/>
      <c r="N47" s="201"/>
      <c r="O47" s="209"/>
    </row>
    <row r="48" spans="1:17" ht="20.100000000000001" customHeight="1" x14ac:dyDescent="0.2">
      <c r="A48" s="180">
        <f t="shared" si="0"/>
        <v>0</v>
      </c>
      <c r="B48" s="113">
        <f t="shared" si="1"/>
        <v>0</v>
      </c>
      <c r="C48" s="79">
        <f>IF(OR(B28&lt;=0,B48&lt;=0),0,POWER($K$22,2)/2*((2*ACOS((1-((B48+$K$23)/$K$22)))*180/PI())*PI()/180-SIN((2*ACOS((1-((B48+$K$23)/$K$22)))*180/PI())*PI()/180))-POWER($K$22,2)/2*((2*ACOS((1-(($B$50+$K$23)/$K$22)))*180/PI())*PI()/180-SIN((2*ACOS((1-(($B$50+$K$23)/$K$22)))*180/PI())*PI()/180))+$C$50)</f>
        <v>0</v>
      </c>
      <c r="D48" s="79">
        <f>IF(OR(B28&lt;=0,B48&lt;=0),0,$K$22*(2*ACOS((1-((B48+$K$23)/$K$22)))*180/PI())*PI()/180-$K$22*(2*ACOS((1-(($B$50+$K$23)/$K$22)))*180/PI())*PI()/180+$D$50)</f>
        <v>0</v>
      </c>
      <c r="E48" s="79">
        <f t="shared" si="2"/>
        <v>0</v>
      </c>
      <c r="F48" s="76">
        <f t="shared" si="8"/>
        <v>0</v>
      </c>
      <c r="G48" s="80">
        <f t="shared" si="3"/>
        <v>0</v>
      </c>
      <c r="H48" s="81">
        <f t="shared" si="4"/>
        <v>0</v>
      </c>
      <c r="I48" s="79">
        <f>IF(AND(B28&lt;=0,K27&lt;=0),0,(2*$K$22*SIN((2*ACOS((1-((B48+$K$23)/$K$22)))*180/PI())/2*PI()/180)))</f>
        <v>0</v>
      </c>
      <c r="J48" s="81">
        <f t="shared" si="5"/>
        <v>0</v>
      </c>
      <c r="K48" s="79">
        <f t="shared" si="6"/>
        <v>0</v>
      </c>
      <c r="L48" s="124">
        <f t="shared" si="7"/>
        <v>0</v>
      </c>
      <c r="M48" s="4"/>
      <c r="N48" s="35"/>
      <c r="O48" s="94"/>
    </row>
    <row r="49" spans="1:18" ht="20.100000000000001" customHeight="1" x14ac:dyDescent="0.25">
      <c r="A49" s="180">
        <f t="shared" si="0"/>
        <v>0</v>
      </c>
      <c r="B49" s="139">
        <f>IF($B$55&lt;=0,0,K29+K35+($K$24-$K$29-$K$35)/9)</f>
        <v>0</v>
      </c>
      <c r="C49" s="82">
        <f>IF(OR(B28&lt;=0,B49&lt;=0),0,POWER($K$22,2)/2*((2*ACOS((1-((B49+$K$23)/$K$22)))*180/PI())*PI()/180-SIN((2*ACOS((1-((B49+$K$23)/$K$22)))*180/PI())*PI()/180))-POWER($K$22,2)/2*((2*ACOS((1-(($B$50+$K$23)/$K$22)))*180/PI())*PI()/180-SIN((2*ACOS((1-(($B$50+$K$23)/$K$22)))*180/PI())*PI()/180))+$C$50)</f>
        <v>0</v>
      </c>
      <c r="D49" s="82">
        <f>IF(OR(B28&lt;=0,B49&lt;=0),0,$K$22*(2*ACOS((1-((B49+$K$23)/$K$22)))*180/PI())*PI()/180-$K$22*(2*ACOS((1-(($B$50+$K$23)/$K$22)))*180/PI())*PI()/180+$D$50)</f>
        <v>0</v>
      </c>
      <c r="E49" s="82">
        <f t="shared" si="2"/>
        <v>0</v>
      </c>
      <c r="F49" s="157">
        <f t="shared" si="8"/>
        <v>0</v>
      </c>
      <c r="G49" s="84">
        <f t="shared" si="3"/>
        <v>0</v>
      </c>
      <c r="H49" s="85">
        <f t="shared" si="4"/>
        <v>0</v>
      </c>
      <c r="I49" s="82">
        <f>IF(AND(B28&lt;=0,K27&lt;=0),0,(2*$K$22*SIN((2*ACOS((1-((B49+$K$23)/$K$22)))*180/PI())/2*PI()/180)))</f>
        <v>0</v>
      </c>
      <c r="J49" s="85">
        <f t="shared" si="5"/>
        <v>0</v>
      </c>
      <c r="K49" s="82">
        <f t="shared" si="6"/>
        <v>0</v>
      </c>
      <c r="L49" s="125">
        <f t="shared" si="7"/>
        <v>0</v>
      </c>
      <c r="M49" s="4"/>
      <c r="N49" s="168"/>
      <c r="O49" s="60"/>
      <c r="P49" s="20"/>
      <c r="Q49" s="20"/>
      <c r="R49" s="20"/>
    </row>
    <row r="50" spans="1:18" ht="20.100000000000001" customHeight="1" x14ac:dyDescent="0.2">
      <c r="A50" s="180">
        <f t="shared" si="0"/>
        <v>0</v>
      </c>
      <c r="B50" s="119">
        <f>IF($B$55&lt;=0,0,ROUNDUP(B51+$K35/3,4))</f>
        <v>0</v>
      </c>
      <c r="C50" s="86">
        <f>IF(OR(B28&lt;=0,B50&lt;=0),0,($K$30+(2*($B50-$B$53)/TAN(ATAN(1/$K$32)*180/PI()*PI()/180)+$K$30))/2*(B50-$B$53)+$C$53)</f>
        <v>0</v>
      </c>
      <c r="D50" s="86">
        <f>IF(OR(B28&lt;=0,B50&lt;=0),0,2*(B50-$B$53)/SIN(ATAN(1/$K$32)*180/PI()*PI()/180)+$D$53)</f>
        <v>0</v>
      </c>
      <c r="E50" s="86">
        <f t="shared" si="2"/>
        <v>0</v>
      </c>
      <c r="F50" s="158">
        <f t="shared" si="8"/>
        <v>0</v>
      </c>
      <c r="G50" s="88">
        <f t="shared" si="3"/>
        <v>0</v>
      </c>
      <c r="H50" s="89">
        <f t="shared" si="4"/>
        <v>0</v>
      </c>
      <c r="I50" s="86">
        <f>IF(OR(K27&lt;=0,B28&lt;=0),0,(2*(B50-$B$53)/TAN(ATAN(1/$K$32)*180/PI()*PI()/180)+$K$30))</f>
        <v>0</v>
      </c>
      <c r="J50" s="89">
        <f t="shared" si="5"/>
        <v>0</v>
      </c>
      <c r="K50" s="86">
        <f t="shared" si="6"/>
        <v>0</v>
      </c>
      <c r="L50" s="126">
        <f t="shared" si="7"/>
        <v>0</v>
      </c>
      <c r="M50" s="4"/>
      <c r="N50" s="202" t="s">
        <v>83</v>
      </c>
      <c r="O50" s="208">
        <f>K35</f>
        <v>0</v>
      </c>
      <c r="Q50" s="20"/>
    </row>
    <row r="51" spans="1:18" ht="20.100000000000001" customHeight="1" x14ac:dyDescent="0.2">
      <c r="A51" s="180">
        <f t="shared" si="0"/>
        <v>0</v>
      </c>
      <c r="B51" s="114">
        <f>IF($B$55&lt;=0,0,B52+$K35/3)</f>
        <v>0</v>
      </c>
      <c r="C51" s="47">
        <f>IF(OR(B28&lt;=0,B51&lt;=0),0,($K$30+(2*($B51-$B$53)/TAN(ATAN(1/$K$32)*180/PI()*PI()/180)+$K$30))/2*(B51-$B$53)+$C$53)</f>
        <v>0</v>
      </c>
      <c r="D51" s="47">
        <f>IF(OR(B28&lt;=0,B51&lt;=0),0,2*(B51-$B$53)/SIN(ATAN(1/$K$32)*180/PI()*PI()/180)+$D$53)</f>
        <v>0</v>
      </c>
      <c r="E51" s="47">
        <f t="shared" si="2"/>
        <v>0</v>
      </c>
      <c r="F51" s="87">
        <f t="shared" si="8"/>
        <v>0</v>
      </c>
      <c r="G51" s="48">
        <f t="shared" si="3"/>
        <v>0</v>
      </c>
      <c r="H51" s="49">
        <f t="shared" si="4"/>
        <v>0</v>
      </c>
      <c r="I51" s="47">
        <f>IF(OR(K27&lt;=0,B28&lt;=0),0,(2*(B51-$B$53)/TAN(ATAN(1/$K$32)*180/PI()*PI()/180)+$K$30))</f>
        <v>0</v>
      </c>
      <c r="J51" s="49">
        <f t="shared" si="5"/>
        <v>0</v>
      </c>
      <c r="K51" s="47">
        <f t="shared" si="6"/>
        <v>0</v>
      </c>
      <c r="L51" s="127">
        <f t="shared" si="7"/>
        <v>0</v>
      </c>
      <c r="M51" s="4"/>
      <c r="N51" s="202"/>
      <c r="O51" s="208"/>
      <c r="Q51" s="20"/>
    </row>
    <row r="52" spans="1:18" ht="20.100000000000001" customHeight="1" x14ac:dyDescent="0.2">
      <c r="A52" s="180">
        <f t="shared" si="0"/>
        <v>0</v>
      </c>
      <c r="B52" s="140">
        <f>IF($B$55&lt;=0,0,K29+$K35/3)</f>
        <v>0</v>
      </c>
      <c r="C52" s="50">
        <f>IF(OR(B28&lt;=0,B52&lt;=0),0,($K$30+(2*($B52-$B$53)/TAN(ATAN(1/$K$32)*180/PI()*PI()/180)+$K$30))/2*(B52-$B$53)+$C$53)</f>
        <v>0</v>
      </c>
      <c r="D52" s="50">
        <f>IF(OR(B28&lt;=0,B52&lt;=0),0,2*(B52-$B$53)/SIN(ATAN(1/$K$32)*180/PI()*PI()/180)+$D$53)</f>
        <v>0</v>
      </c>
      <c r="E52" s="50">
        <f t="shared" si="2"/>
        <v>0</v>
      </c>
      <c r="F52" s="159">
        <f t="shared" si="8"/>
        <v>0</v>
      </c>
      <c r="G52" s="51">
        <f t="shared" si="3"/>
        <v>0</v>
      </c>
      <c r="H52" s="52">
        <f t="shared" si="4"/>
        <v>0</v>
      </c>
      <c r="I52" s="50">
        <f>IF(B52&lt;=0,0,(2*(B52-K29)/TAN(ATAN(1/$K$32)*180/PI()*PI()/180)+$K$30))</f>
        <v>0</v>
      </c>
      <c r="J52" s="52">
        <f t="shared" si="5"/>
        <v>0</v>
      </c>
      <c r="K52" s="50">
        <f t="shared" si="6"/>
        <v>0</v>
      </c>
      <c r="L52" s="128">
        <f t="shared" si="7"/>
        <v>0</v>
      </c>
      <c r="M52" s="4"/>
      <c r="N52" s="202"/>
      <c r="O52" s="208"/>
    </row>
    <row r="53" spans="1:18" ht="20.100000000000001" customHeight="1" x14ac:dyDescent="0.2">
      <c r="A53" s="180">
        <f t="shared" si="0"/>
        <v>0</v>
      </c>
      <c r="B53" s="120">
        <f>IF($B$55&lt;=0,0,ROUNDUP(B54+K29/3,4))</f>
        <v>0</v>
      </c>
      <c r="C53" s="75">
        <f>IF(OR(B28&lt;=0,B53&lt;=0),0,IF(B53&lt;=$K$28,POWER($K$28,2)/2*((2*ACOS(($K$28-B53)/$K$28)*180/PI())*PI()/180-SIN((2*ACOS(($K$28-B53)/$K$28)*180/PI())*PI()/180)),IF(B53&gt;$K$28,(B53-$K$28)*$K$30+POWER($K$28,2)/2*(180*PI()/180-SIN(180*PI()/180)))))</f>
        <v>0</v>
      </c>
      <c r="D53" s="75">
        <f>IF(OR(B28&lt;=0,B53&lt;=0),0,IF(B53&lt;=$K$28,$K$28*(2*ACOS(($K$28-B53)/$K$28)*180/PI())*PI()/180,IF(B53&gt;$K$28,$K$28*180*PI()/180+2*(B53-$K$28))))</f>
        <v>0</v>
      </c>
      <c r="E53" s="75">
        <f t="shared" si="2"/>
        <v>0</v>
      </c>
      <c r="F53" s="76">
        <f t="shared" si="8"/>
        <v>0</v>
      </c>
      <c r="G53" s="77">
        <f t="shared" si="3"/>
        <v>0</v>
      </c>
      <c r="H53" s="78">
        <f t="shared" si="4"/>
        <v>0</v>
      </c>
      <c r="I53" s="79">
        <f>IF(B53&lt;=0,0,IF(B53&gt;K28,K27/1000,IF(B53&lt;=$K$28,$K$27/1000*SIN(PI()-(2*ASIN(SQRT(B53/($K$27/1000))))))))</f>
        <v>0</v>
      </c>
      <c r="J53" s="78">
        <f t="shared" si="5"/>
        <v>0</v>
      </c>
      <c r="K53" s="75">
        <f t="shared" si="6"/>
        <v>0</v>
      </c>
      <c r="L53" s="129">
        <f t="shared" si="7"/>
        <v>0</v>
      </c>
      <c r="M53" s="4"/>
      <c r="N53" s="201" t="s">
        <v>82</v>
      </c>
      <c r="O53" s="208">
        <f>K29</f>
        <v>0</v>
      </c>
    </row>
    <row r="54" spans="1:18" ht="20.100000000000001" customHeight="1" x14ac:dyDescent="0.2">
      <c r="A54" s="180">
        <f t="shared" si="0"/>
        <v>0</v>
      </c>
      <c r="B54" s="113">
        <f>IF($B$55&lt;=0,0,B55+K29/3)</f>
        <v>0</v>
      </c>
      <c r="C54" s="79">
        <f>IF(OR(B28&lt;=0,B54&lt;=0),0,IF(B54&lt;=$K$28,POWER($K$28,2)/2*((2*ACOS(($K$28-B54)/$K$28)*180/PI())*PI()/180-SIN((2*ACOS(($K$28-B54)/$K$28)*180/PI())*PI()/180)),IF(B54&gt;$K$28,(B54-$K$28)*$K$30+POWER($K$28,2)/2*(180*PI()/180-SIN(180*PI()/180)))))</f>
        <v>0</v>
      </c>
      <c r="D54" s="79">
        <f>IF(OR(B28&lt;=0,B54&lt;=0),0,IF(B54&lt;=$K$28,$K$28*(2*ACOS(($K$28-B54)/$K$28)*180/PI())*PI()/180,IF(B54&gt;$K$28,$K$28*180*PI()/180+2*(B54-$K$28))))</f>
        <v>0</v>
      </c>
      <c r="E54" s="79">
        <f t="shared" si="2"/>
        <v>0</v>
      </c>
      <c r="F54" s="76">
        <f t="shared" si="8"/>
        <v>0</v>
      </c>
      <c r="G54" s="80">
        <f t="shared" si="3"/>
        <v>0</v>
      </c>
      <c r="H54" s="81">
        <f t="shared" si="4"/>
        <v>0</v>
      </c>
      <c r="I54" s="79">
        <f>IF(B54&lt;=0,0,IF(AND(B54&lt;=B53,B54&gt;=K28),K30,IF(B54&lt;=$K$28,$K$27/1000*SIN(PI()-(2*ASIN(SQRT(B54/($K$27/1000))))))))</f>
        <v>0</v>
      </c>
      <c r="J54" s="81">
        <f t="shared" si="5"/>
        <v>0</v>
      </c>
      <c r="K54" s="79">
        <f t="shared" si="6"/>
        <v>0</v>
      </c>
      <c r="L54" s="124">
        <f t="shared" si="7"/>
        <v>0</v>
      </c>
      <c r="M54" s="4"/>
      <c r="N54" s="201"/>
      <c r="O54" s="208"/>
    </row>
    <row r="55" spans="1:18" ht="20.100000000000001" customHeight="1" x14ac:dyDescent="0.2">
      <c r="A55" s="181">
        <f>$A$56+B55</f>
        <v>0</v>
      </c>
      <c r="B55" s="139">
        <f>IF(K22&lt;=0,0,K29/3)</f>
        <v>0</v>
      </c>
      <c r="C55" s="82">
        <f>IF(OR(B28&lt;=0,B55&lt;=0),0,IF(B55&lt;=$K$28,POWER($K$28,2)/2*((2*ACOS(($K$28-B55)/$K$28)*180/PI())*PI()/180-SIN((2*ACOS(($K$28-B55)/$K$28)*180/PI())*PI()/180)),IF(B55&gt;$K$28,(B55-$K$28)*$K$30+POWER($K$28,2)/2*(180*PI()/180-SIN(180*PI()/180)))))</f>
        <v>0</v>
      </c>
      <c r="D55" s="82">
        <f>IF(OR(B28&lt;=0,B55&lt;=0),0,IF(B55&lt;=$K$28,$K$28*(2*ACOS(($K$28-B55)/$K$28)*180/PI())*PI()/180,IF(B55&gt;$K$28,$K$28*180*PI()/180+2*(B55-$K$28))))</f>
        <v>0</v>
      </c>
      <c r="E55" s="82">
        <f t="shared" si="2"/>
        <v>0</v>
      </c>
      <c r="F55" s="83">
        <f t="shared" si="8"/>
        <v>0</v>
      </c>
      <c r="G55" s="84">
        <f t="shared" si="3"/>
        <v>0</v>
      </c>
      <c r="H55" s="85">
        <f t="shared" si="4"/>
        <v>0</v>
      </c>
      <c r="I55" s="82">
        <f>IF(B55&lt;=0,0,IF(AND(B55&lt;=B53,B55&gt;=K29),K31,IF(B55&lt;$K$28,$K$27/1000*SIN(PI()-(2*ASIN(SQRT(B55/($K$27/1000))))))))</f>
        <v>0</v>
      </c>
      <c r="J55" s="85">
        <f t="shared" si="5"/>
        <v>0</v>
      </c>
      <c r="K55" s="82">
        <f t="shared" si="6"/>
        <v>0</v>
      </c>
      <c r="L55" s="125">
        <f t="shared" si="7"/>
        <v>0</v>
      </c>
      <c r="M55" s="4"/>
      <c r="N55" s="201"/>
      <c r="O55" s="208"/>
    </row>
    <row r="56" spans="1:18" ht="20.100000000000001" customHeight="1" x14ac:dyDescent="0.2">
      <c r="A56" s="182">
        <f>K23</f>
        <v>0</v>
      </c>
      <c r="B56" s="133"/>
      <c r="C56" s="134"/>
      <c r="D56" s="134"/>
      <c r="E56" s="134"/>
      <c r="F56" s="135"/>
      <c r="G56" s="136"/>
      <c r="H56" s="137"/>
      <c r="I56" s="134"/>
      <c r="J56" s="137"/>
      <c r="K56" s="134"/>
      <c r="L56" s="138"/>
      <c r="M56" s="4"/>
      <c r="N56" s="103" t="s">
        <v>90</v>
      </c>
      <c r="O56" s="207">
        <f>K23</f>
        <v>0</v>
      </c>
    </row>
    <row r="57" spans="1:18" ht="9" customHeight="1" x14ac:dyDescent="0.2">
      <c r="A57" s="116"/>
      <c r="B57" s="28"/>
      <c r="C57" s="28"/>
      <c r="D57" s="28"/>
      <c r="E57" s="28"/>
      <c r="F57" s="28"/>
      <c r="G57" s="28"/>
      <c r="H57" s="53"/>
      <c r="I57" s="53"/>
      <c r="J57" s="54"/>
      <c r="K57" s="55"/>
      <c r="L57" s="174"/>
      <c r="M57" s="4"/>
      <c r="N57" s="35"/>
      <c r="O57" s="207"/>
    </row>
    <row r="58" spans="1:18" ht="18" customHeight="1" x14ac:dyDescent="0.25">
      <c r="A58" s="116"/>
      <c r="B58" s="194" t="s">
        <v>75</v>
      </c>
      <c r="C58" s="194"/>
      <c r="D58" s="194"/>
      <c r="E58" s="194"/>
      <c r="F58" s="56"/>
      <c r="G58" s="57"/>
      <c r="H58" s="58"/>
      <c r="I58" s="59"/>
      <c r="J58" s="57"/>
      <c r="K58" s="57"/>
      <c r="L58" s="175"/>
      <c r="M58" s="4"/>
      <c r="N58" s="168"/>
      <c r="O58" s="207"/>
      <c r="Q58" s="20"/>
    </row>
    <row r="59" spans="1:18" ht="20.100000000000001" customHeight="1" x14ac:dyDescent="0.2">
      <c r="A59" s="183">
        <f>IF(B59&lt;=0,0,$K$23+B59)</f>
        <v>0</v>
      </c>
      <c r="B59" s="115"/>
      <c r="C59" s="61">
        <f>IF(OR(B28&lt;=0,B59&lt;=0),0,IF(B59&lt;=$B$53,POWER($K$28,2)/2*((2*ACOS(($K$28-B59)/$K$28)*180/PI())*PI()/180-SIN((2*ACOS(($K$28-B59)/$K$28)*180/PI())*PI()/180)),IF(AND($K$29&gt;$K$28,B59&lt;=$B$53),(B59-$K$28)*$K$30+POWER($K$28,2)/2*(180*PI()/180-SIN(180*PI()/180)),IF(AND(B59&gt;$B$53,B59&lt;=$B$50),($K$30+(2*(B59-$B$53)/TAN(ATAN(1/$K$32))+$K$30))/2*(B59-$B$53)+$C$53,IF(AND(B59&gt;$B$50,B59&lt;=$B$41),POWER($K$22,2)/2*((2*ACOS((1-((B59+$K$23)/$K$22)))*180/PI())*PI()/180-SIN((2*ACOS((1-((B59+$K$23)/$K$22)))*180/PI())*PI()/180))-POWER($K$22,2)/2*((2*ACOS((1-(($B$50+$K$23)/$K$22)))*180/PI())*PI()/180-SIN((2*ACOS((1-(($B$50+$K$23)/$K$22)))*180/PI())*PI()/180))+$C$50,0)))))</f>
        <v>0</v>
      </c>
      <c r="D59" s="61">
        <f>IF(OR(B28&lt;=0,B59&lt;=0),0,IF(B59&lt;=$B$53,IF(B59&lt;=$K$28,$K$28*(2*ACOS(($K$28-B59)/$K$28)*180/PI())*PI()/180,IF(B59&gt;$K$28,$K$28*180*PI()/180+2*(B59-$K$28))),IF(AND(B59&gt;$B$53,B59&lt;=$B$50),2*(B59-$B$53)/SIN(ATAN(1/$K$32)*180/PI()*PI()/180)+$D$53,IF(AND(B59&gt;$B$50,B59&lt;=$B$41),$K$22*(2*ACOS((1-((B59+$K$23)/$K$22)))*180/PI())*PI()/180-$K$22*(2*ACOS((1-(($B$50+$K$23)/$K$22)))*180/PI())*PI()/180+$D$50))))</f>
        <v>0</v>
      </c>
      <c r="E59" s="61">
        <f>IF(ISERROR(C59/D59),0,C59/D59)</f>
        <v>0</v>
      </c>
      <c r="F59" s="61">
        <f>IF(ISERROR(-2*LOG(2.51*$B$9/(4*E59*SQRT(8*$B$8*E59*$B$6/1000))+$B$7/(1000*(14.84*E59)))*SQRT(8*$B$8*E59*$B$6/1000)),0,-2*LOG(2.51*$B$9/(4*E59*SQRT(8*$B$8*E59*$B$6/1000))+$B$7/(1000*(14.84*E59)))*SQRT(8*$B$8*E59*$B$6/1000))</f>
        <v>0</v>
      </c>
      <c r="G59" s="62">
        <f>F59*C59</f>
        <v>0</v>
      </c>
      <c r="H59" s="63">
        <f>IF(ISERROR(G59/$B$34),0,G59/$B$34)</f>
        <v>0</v>
      </c>
      <c r="I59" s="61">
        <f>IF(B59&lt;=0,0,IF(AND(B59&lt;=$B$53,B59&gt;=$K$28),$K$30,IF(B59&lt;$K$28,$K$27/1000*SIN(PI()-(2*ASIN(SQRT(B59/($K$27/1000))))),IF(AND(B59&gt;$B$53,B59&lt;=$B$50),(2*(B59-$B$53)/TAN(ATAN(1/$K$32)*180/PI()*PI()/180)+$K$30),IF(AND(B59&gt;$B$50,B59&lt;=$B$41),2*(SQRT(POWER($K$22,2)-POWER(($K$22-B59),2))))))))</f>
        <v>0</v>
      </c>
      <c r="J59" s="63">
        <f>IF(ISERROR(F59/SQRT(($B$8*C59)/I59)),0,F59/SQRT(($B$8*C59)/I59))</f>
        <v>0</v>
      </c>
      <c r="K59" s="61">
        <f>IF(K27&lt;=0,0,B59+POWER(F59,2)/(2*$B$8))</f>
        <v>0</v>
      </c>
      <c r="L59" s="176">
        <f>$B$8*$B$6*E59</f>
        <v>0</v>
      </c>
      <c r="M59" s="4"/>
      <c r="N59" s="35"/>
      <c r="O59" s="60"/>
      <c r="Q59" s="20"/>
    </row>
    <row r="60" spans="1:18" ht="9" customHeight="1" x14ac:dyDescent="0.2">
      <c r="A60" s="116"/>
      <c r="B60" s="64"/>
      <c r="C60" s="64"/>
      <c r="D60" s="64"/>
      <c r="E60" s="64"/>
      <c r="F60" s="64"/>
      <c r="G60" s="65"/>
      <c r="H60" s="66"/>
      <c r="I60" s="66"/>
      <c r="J60" s="66"/>
      <c r="K60" s="64"/>
      <c r="L60" s="177"/>
      <c r="M60" s="4"/>
      <c r="N60" s="35"/>
      <c r="O60" s="94"/>
    </row>
    <row r="61" spans="1:18" ht="18" customHeight="1" x14ac:dyDescent="0.25">
      <c r="A61" s="116"/>
      <c r="B61" s="193" t="s">
        <v>76</v>
      </c>
      <c r="C61" s="193"/>
      <c r="D61" s="193"/>
      <c r="E61" s="193"/>
      <c r="F61" s="56"/>
      <c r="G61" s="57"/>
      <c r="H61" s="57"/>
      <c r="I61" s="59"/>
      <c r="J61" s="57"/>
      <c r="K61" s="57"/>
      <c r="L61" s="175"/>
      <c r="M61" s="4"/>
      <c r="N61" s="35"/>
      <c r="O61" s="60"/>
      <c r="Q61" s="20"/>
    </row>
    <row r="62" spans="1:18" ht="20.100000000000001" customHeight="1" x14ac:dyDescent="0.2">
      <c r="A62" s="183">
        <f>IF(B62&lt;=0,0,$K$23+B62)</f>
        <v>0</v>
      </c>
      <c r="B62" s="115"/>
      <c r="C62" s="99">
        <f>IF(OR(B28&lt;=0,B62&lt;=0),0,IF(B62&lt;=$B$53,POWER($K$28,2)/2*((2*ACOS(($K$28-B62)/$K$28)*180/PI())*PI()/180-SIN((2*ACOS(($K$28-B62)/$K$28)*180/PI())*PI()/180)),IF(AND($K$29&gt;$K$28,B62&lt;=$B$53),(B62-$K$28)*$K$30+POWER($K$28,2)/2*(180*PI()/180-SIN(180*PI()/180)),IF(AND(B62&gt;$B$53,B62&lt;=$B$50),($K$30+(2*(B62-$B$53)/TAN(ATAN(1/$K$32))+$K$30))/2*(B62-$B$53)+$C$53,IF(AND(B62&gt;$B$50,B62&lt;=$B$41),POWER($K$22,2)/2*((2*ACOS((1-((B62+$K$23)/$K$22)))*180/PI())*PI()/180-SIN((2*ACOS((1-((B62+$K$23)/$K$22)))*180/PI())*PI()/180))-POWER($K$22,2)/2*((2*ACOS((1-(($B$50+$K$23)/$K$22)))*180/PI())*PI()/180-SIN((2*ACOS((1-(($B$50+$K$23)/$K$22)))*180/PI())*PI()/180))+$C$50,0)))))</f>
        <v>0</v>
      </c>
      <c r="D62" s="99">
        <f>IF(OR(B28&lt;=0,B62&lt;=0),0,IF(B62&lt;=$B$53,IF(B62&lt;=$K$28,$K$28*(2*ACOS(($K$28-B62)/$K$28)*180/PI())*PI()/180,IF(B62&gt;$K$28,$K$28*180*PI()/180+2*(B62-$K$28))),IF(AND(B62&gt;$B$53,B62&lt;=$B$50),2*(B62-$B$53)/SIN(ATAN(1/$K$32)*180/PI()*PI()/180)+$D$53,IF(AND(B62&gt;$B$50,B62&lt;=$B$41),$K$22*(2*ACOS((1-((B62+$K$23)/$K$22)))*180/PI())*PI()/180-$K$22*(2*ACOS((1-(($B$50+$K$23)/$K$22)))*180/PI())*PI()/180+$D$50))))</f>
        <v>0</v>
      </c>
      <c r="E62" s="99">
        <f>IF(ISERROR(C62/D62),0,C62/D62)</f>
        <v>0</v>
      </c>
      <c r="F62" s="99">
        <f>IF(ISERROR(-2*LOG(2.51*$B$9/(4*E62*SQRT(8*$B$8*E62*$B$6/1000))+$B$7/(1000*(14.84*E62)))*SQRT(8*$B$8*E62*$B$6/1000)),0,-2*LOG(2.51*$B$9/(4*E62*SQRT(8*$B$8*E62*$B$6/1000))+$B$7/(1000*(14.84*E62)))*SQRT(8*$B$8*E62*$B$6/1000))</f>
        <v>0</v>
      </c>
      <c r="G62" s="100">
        <f>F62*C62</f>
        <v>0</v>
      </c>
      <c r="H62" s="101">
        <f>IF(ISERROR(G62/$B$34),0,G62/$B$34)</f>
        <v>0</v>
      </c>
      <c r="I62" s="99">
        <f>IF(B62&lt;=0,0,IF(AND(B62&lt;=$B$53,B62&gt;=$K$28),$K$30,IF(B62&lt;$K$28,$K$27/1000*SIN(PI()-(2*ASIN(SQRT(B62/($K$27/1000))))),IF(AND(B62&gt;$B$53,B62&lt;=$B$50),(2*(B62-$B$53)/TAN(ATAN(1/$K$32)*180/PI()*PI()/180)+$K$30),IF(AND(B62&gt;$B$50,B62&lt;=$B$41),2*(SQRT(POWER($K$22,2)-POWER(($K$22-B62),2))))))))</f>
        <v>0</v>
      </c>
      <c r="J62" s="101">
        <f>IF(ISERROR(F62/SQRT(($B$8*C62)/I62)),0,F62/SQRT(($B$8*C62)/I62))</f>
        <v>0</v>
      </c>
      <c r="K62" s="99">
        <f>IF(K27&lt;=0,0,B62+POWER(F62,2)/(2*$B$8))</f>
        <v>0</v>
      </c>
      <c r="L62" s="178">
        <f>$B$8*$B$6*E62</f>
        <v>0</v>
      </c>
      <c r="M62" s="4"/>
      <c r="N62" s="35"/>
      <c r="O62" s="60"/>
      <c r="Q62" s="20"/>
    </row>
    <row r="63" spans="1:18" ht="9" customHeight="1" x14ac:dyDescent="0.2">
      <c r="A63" s="116"/>
      <c r="B63" s="64"/>
      <c r="C63" s="64"/>
      <c r="D63" s="64"/>
      <c r="E63" s="64"/>
      <c r="F63" s="64"/>
      <c r="G63" s="65"/>
      <c r="H63" s="66"/>
      <c r="I63" s="66"/>
      <c r="J63" s="66"/>
      <c r="K63" s="64"/>
      <c r="L63" s="177"/>
      <c r="M63" s="4"/>
      <c r="N63" s="35"/>
      <c r="O63" s="94"/>
    </row>
    <row r="64" spans="1:18" ht="18" customHeight="1" x14ac:dyDescent="0.25">
      <c r="A64" s="116"/>
      <c r="B64" s="193" t="s">
        <v>77</v>
      </c>
      <c r="C64" s="193"/>
      <c r="D64" s="193"/>
      <c r="E64" s="193"/>
      <c r="F64" s="56"/>
      <c r="G64" s="57"/>
      <c r="H64" s="57"/>
      <c r="I64" s="59"/>
      <c r="J64" s="57"/>
      <c r="K64" s="57"/>
      <c r="L64" s="175"/>
      <c r="M64" s="4"/>
      <c r="N64" s="35"/>
      <c r="O64" s="60"/>
      <c r="Q64" s="20"/>
    </row>
    <row r="65" spans="1:17" ht="20.100000000000001" customHeight="1" x14ac:dyDescent="0.2">
      <c r="A65" s="183">
        <f>IF(B65&lt;=0,0,$K$23+B65)</f>
        <v>0</v>
      </c>
      <c r="B65" s="115"/>
      <c r="C65" s="61">
        <f>IF(OR(B28&lt;=0,B65&lt;=0),0,IF(B65&lt;=$B$53,POWER($K$28,2)/2*((2*ACOS(($K$28-B65)/$K$28)*180/PI())*PI()/180-SIN((2*ACOS(($K$28-B65)/$K$28)*180/PI())*PI()/180)),IF(AND($K$29&gt;$K$28,B65&lt;=$B$53),(B65-$K$28)*$K$30+POWER($K$28,2)/2*(180*PI()/180-SIN(180*PI()/180)),IF(AND(B65&gt;$B$53,B65&lt;=$B$50),($K$30+(2*(B65-$B$53)/TAN(ATAN(1/$K$32))+$K$30))/2*(B65-$B$53)+$C$53,IF(AND(B65&gt;$B$50,B65&lt;=$B$41),POWER($K$22,2)/2*((2*ACOS((1-((B65+$K$23)/$K$22)))*180/PI())*PI()/180-SIN((2*ACOS((1-((B65+$K$23)/$K$22)))*180/PI())*PI()/180))-POWER($K$22,2)/2*((2*ACOS((1-(($B$50+$K$23)/$K$22)))*180/PI())*PI()/180-SIN((2*ACOS((1-(($B$50+$K$23)/$K$22)))*180/PI())*PI()/180))+$C$50,0)))))</f>
        <v>0</v>
      </c>
      <c r="D65" s="61">
        <f>IF(OR(B28&lt;=0,B65&lt;=0),0,IF(B65&lt;=$B$53,IF(B65&lt;=$K$28,$K$28*(2*ACOS(($K$28-B65)/$K$28)*180/PI())*PI()/180,IF(B65&gt;$K$28,$K$28*180*PI()/180+2*(B65-$K$28))),IF(AND(B65&gt;$B$53,B65&lt;=$B$50),2*(B65-$B$53)/SIN(ATAN(1/$K$32)*180/PI()*PI()/180)+$D$53,IF(AND(B65&gt;$B$50,B65&lt;=$B$41),$K$22*(2*ACOS((1-((B65+$K$23)/$K$22)))*180/PI())*PI()/180-$K$22*(2*ACOS((1-(($B$50+$K$23)/$K$22)))*180/PI())*PI()/180+$D$50))))</f>
        <v>0</v>
      </c>
      <c r="E65" s="61">
        <f>IF(ISERROR(C65/D65),0,C65/D65)</f>
        <v>0</v>
      </c>
      <c r="F65" s="61">
        <f>IF(ISERROR(-2*LOG(2.51*$B$9/(4*E65*SQRT(8*$B$8*E65*$B$6/1000))+$B$7/(1000*(14.84*E65)))*SQRT(8*$B$8*E65*$B$6/1000)),0,-2*LOG(2.51*$B$9/(4*E65*SQRT(8*$B$8*E65*$B$6/1000))+$B$7/(1000*(14.84*E65)))*SQRT(8*$B$8*E65*$B$6/1000))</f>
        <v>0</v>
      </c>
      <c r="G65" s="62">
        <f>F65*C65</f>
        <v>0</v>
      </c>
      <c r="H65" s="63">
        <f>IF(ISERROR(G65/$B$34),0,G65/$B$34)</f>
        <v>0</v>
      </c>
      <c r="I65" s="61">
        <f>IF(B65&lt;=0,0,IF(AND(B65&lt;=$B$53,B65&gt;=$K$28),$K$30,IF(B65&lt;$K$28,$K$27/1000*SIN(PI()-(2*ASIN(SQRT(B65/($K$27/1000))))),IF(AND(B65&gt;$B$53,B65&lt;=$B$50),(2*(B65-$B$53)/TAN(ATAN(1/$K$32)*180/PI()*PI()/180)+$K$30),IF(AND(B65&gt;$B$50,B65&lt;=$B$41),2*(SQRT(POWER($K$22,2)-POWER(($K$22-B65),2))))))))</f>
        <v>0</v>
      </c>
      <c r="J65" s="63">
        <f>IF(ISERROR(F65/SQRT(($B$8*C65)/I65)),0,F65/SQRT(($B$8*C65)/I65))</f>
        <v>0</v>
      </c>
      <c r="K65" s="61">
        <f>IF(K27&lt;=0,0,B65+POWER(F65,2)/(2*$B$8))</f>
        <v>0</v>
      </c>
      <c r="L65" s="176">
        <f>$B$8*$B$6*E65</f>
        <v>0</v>
      </c>
      <c r="M65" s="4"/>
      <c r="N65" s="35"/>
      <c r="O65" s="94"/>
    </row>
    <row r="66" spans="1:17" ht="10.5" customHeight="1" thickBot="1" x14ac:dyDescent="0.25">
      <c r="A66" s="117"/>
      <c r="B66" s="67"/>
      <c r="C66" s="67"/>
      <c r="D66" s="67"/>
      <c r="E66" s="67"/>
      <c r="F66" s="67"/>
      <c r="G66" s="68"/>
      <c r="H66" s="69"/>
      <c r="I66" s="69"/>
      <c r="J66" s="69"/>
      <c r="K66" s="67"/>
      <c r="L66" s="91"/>
      <c r="M66" s="96"/>
      <c r="N66" s="97"/>
      <c r="O66" s="98"/>
    </row>
    <row r="67" spans="1:17" ht="9.9499999999999993" customHeight="1" x14ac:dyDescent="0.2">
      <c r="A67" s="70" t="s">
        <v>88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1"/>
    </row>
    <row r="68" spans="1:17" ht="18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70"/>
      <c r="O68" s="36"/>
      <c r="Q68" s="36"/>
    </row>
    <row r="69" spans="1:17" ht="18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O69" s="20"/>
      <c r="Q69" s="20"/>
    </row>
    <row r="70" spans="1:17" ht="18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O70" s="20"/>
      <c r="Q70" s="20"/>
    </row>
    <row r="71" spans="1:17" ht="18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70"/>
      <c r="O71" s="20"/>
      <c r="Q71" s="20"/>
    </row>
    <row r="72" spans="1:17" ht="18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O72" s="36"/>
      <c r="Q72" s="36"/>
    </row>
    <row r="73" spans="1:17" ht="18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O73" s="20"/>
      <c r="Q73" s="20"/>
    </row>
    <row r="74" spans="1:17" ht="18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7" ht="18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7" ht="18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7" ht="18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7" ht="18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70"/>
      <c r="O78" s="72"/>
    </row>
    <row r="79" spans="1:17" ht="18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7" ht="18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ht="18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ht="18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ht="18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18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ht="18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ht="18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ht="18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ht="18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ht="18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ht="18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ht="18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ht="18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ht="18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</sheetData>
  <sheetProtection password="89A8" sheet="1"/>
  <mergeCells count="35">
    <mergeCell ref="A1:A2"/>
    <mergeCell ref="O56:O58"/>
    <mergeCell ref="O53:O55"/>
    <mergeCell ref="O50:O52"/>
    <mergeCell ref="O43:O47"/>
    <mergeCell ref="B1:L1"/>
    <mergeCell ref="B2:L2"/>
    <mergeCell ref="A37:A38"/>
    <mergeCell ref="M39:N39"/>
    <mergeCell ref="A17:C17"/>
    <mergeCell ref="M1:O2"/>
    <mergeCell ref="N53:N55"/>
    <mergeCell ref="N50:N52"/>
    <mergeCell ref="I21:K21"/>
    <mergeCell ref="I31:K31"/>
    <mergeCell ref="I33:K33"/>
    <mergeCell ref="I26:K26"/>
    <mergeCell ref="K6:L6"/>
    <mergeCell ref="N43:N47"/>
    <mergeCell ref="B64:E64"/>
    <mergeCell ref="B61:E61"/>
    <mergeCell ref="B58:E58"/>
    <mergeCell ref="D30:E30"/>
    <mergeCell ref="D31:E31"/>
    <mergeCell ref="D33:F33"/>
    <mergeCell ref="D34:F34"/>
    <mergeCell ref="B37:C37"/>
    <mergeCell ref="D9:E9"/>
    <mergeCell ref="A19:F19"/>
    <mergeCell ref="A20:C20"/>
    <mergeCell ref="D28:E28"/>
    <mergeCell ref="D5:E5"/>
    <mergeCell ref="D6:E6"/>
    <mergeCell ref="D7:E7"/>
    <mergeCell ref="D8:E8"/>
  </mergeCells>
  <phoneticPr fontId="0" type="noConversion"/>
  <printOptions horizontalCentered="1" verticalCentered="1"/>
  <pageMargins left="0.78740157480314965" right="0.19685039370078741" top="0.19685039370078741" bottom="0.19685039370078741" header="0" footer="0"/>
  <pageSetup paperSize="9"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Kreisprofil mit TWR</vt:lpstr>
      <vt:lpstr>'Kreisprofil mit TWR'!Druckbereich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Schemionek, Stefan</cp:lastModifiedBy>
  <cp:lastPrinted>2016-03-31T11:24:34Z</cp:lastPrinted>
  <dcterms:created xsi:type="dcterms:W3CDTF">2016-02-17T07:15:05Z</dcterms:created>
  <dcterms:modified xsi:type="dcterms:W3CDTF">2024-07-15T09:06:48Z</dcterms:modified>
</cp:coreProperties>
</file>