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Schemionek\Downloads\"/>
    </mc:Choice>
  </mc:AlternateContent>
  <xr:revisionPtr revIDLastSave="0" documentId="8_{6C2B28E5-4508-4578-81B9-A342204C8B55}" xr6:coauthVersionLast="47" xr6:coauthVersionMax="47" xr10:uidLastSave="{00000000-0000-0000-0000-000000000000}"/>
  <bookViews>
    <workbookView xWindow="-120" yWindow="-120" windowWidth="38640" windowHeight="21240" xr2:uid="{CB0E9928-8A43-4A1D-9244-9583E671618C}"/>
  </bookViews>
  <sheets>
    <sheet name="RPnormal" sheetId="7" r:id="rId1"/>
    <sheet name="RPKreissegment" sheetId="3" r:id="rId2"/>
    <sheet name="RPtrapez" sheetId="4" r:id="rId3"/>
    <sheet name="RPDreieck" sheetId="9" r:id="rId4"/>
    <sheet name="RPGerinne mit Auftritt" sheetId="5" r:id="rId5"/>
    <sheet name="RPDrachenprofil" sheetId="10" r:id="rId6"/>
    <sheet name="RPTrapezgerinne" sheetId="11" r:id="rId7"/>
  </sheets>
  <definedNames>
    <definedName name="_xlnm.Print_Area" localSheetId="5">RPDrachenprofil!$A$1:$N$68</definedName>
    <definedName name="_xlnm.Print_Area" localSheetId="3">RPDreieck!$A$1:$N$64</definedName>
    <definedName name="_xlnm.Print_Area" localSheetId="4">'RPGerinne mit Auftritt'!$A$1:$N$68</definedName>
    <definedName name="_xlnm.Print_Area" localSheetId="1">RPKreissegment!$A$1:$N$64</definedName>
    <definedName name="_xlnm.Print_Area" localSheetId="0">RPnormal!$A$1:$N$60</definedName>
    <definedName name="_xlnm.Print_Area" localSheetId="2">RPtrapez!$A$1:$N$65</definedName>
    <definedName name="_xlnm.Print_Area" localSheetId="6">RPTrapezgerinne!$A$1:$N$68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K19" i="3"/>
  <c r="H21" i="3"/>
  <c r="H20" i="3"/>
  <c r="G21" i="4"/>
  <c r="G22" i="4"/>
  <c r="G20" i="9"/>
  <c r="G21" i="9"/>
  <c r="G22" i="5"/>
  <c r="D14" i="5"/>
  <c r="L23" i="5"/>
  <c r="L28" i="5"/>
  <c r="B27" i="5"/>
  <c r="J18" i="5"/>
  <c r="G23" i="5"/>
  <c r="H23" i="5"/>
  <c r="H28" i="5"/>
  <c r="H27" i="5"/>
  <c r="G21" i="10"/>
  <c r="H27" i="10"/>
  <c r="H26" i="10"/>
  <c r="H21" i="10"/>
  <c r="L27" i="10"/>
  <c r="L26" i="10"/>
  <c r="L22" i="10"/>
  <c r="L21" i="10"/>
  <c r="H22" i="10"/>
  <c r="B26" i="10"/>
  <c r="J17" i="10"/>
  <c r="J18" i="10"/>
  <c r="J22" i="10"/>
  <c r="G22" i="10"/>
  <c r="B27" i="10"/>
  <c r="J27" i="10"/>
  <c r="B28" i="11"/>
  <c r="G23" i="11"/>
  <c r="G24" i="11"/>
  <c r="B29" i="11"/>
  <c r="D24" i="11"/>
  <c r="D23" i="11"/>
  <c r="C60" i="11"/>
  <c r="C58" i="11"/>
  <c r="B26" i="3"/>
  <c r="K23" i="3"/>
  <c r="A43" i="3"/>
  <c r="A34" i="3"/>
  <c r="A33" i="3"/>
  <c r="B23" i="7"/>
  <c r="A52" i="11"/>
  <c r="I52" i="11" s="1"/>
  <c r="A51" i="11"/>
  <c r="B51" i="11"/>
  <c r="A50" i="11"/>
  <c r="H50" i="11" s="1"/>
  <c r="A49" i="11"/>
  <c r="A46" i="11"/>
  <c r="A45" i="11"/>
  <c r="A44" i="11"/>
  <c r="A43" i="11"/>
  <c r="A42" i="11"/>
  <c r="A40" i="11"/>
  <c r="A39" i="11"/>
  <c r="H39" i="11" s="1"/>
  <c r="A38" i="11"/>
  <c r="A37" i="11"/>
  <c r="A36" i="11"/>
  <c r="C24" i="11"/>
  <c r="C23" i="11"/>
  <c r="A54" i="10"/>
  <c r="H54" i="10" s="1"/>
  <c r="A53" i="10"/>
  <c r="A52" i="10"/>
  <c r="B52" i="10" s="1"/>
  <c r="A51" i="10"/>
  <c r="A50" i="10"/>
  <c r="C50" i="10"/>
  <c r="A49" i="10"/>
  <c r="I49" i="10" s="1"/>
  <c r="A48" i="10"/>
  <c r="I48" i="10" s="1"/>
  <c r="A47" i="10"/>
  <c r="A46" i="10"/>
  <c r="C46" i="10" s="1"/>
  <c r="A45" i="10"/>
  <c r="A44" i="10"/>
  <c r="A43" i="10"/>
  <c r="A42" i="10"/>
  <c r="B42" i="10" s="1"/>
  <c r="C42" i="10"/>
  <c r="A41" i="10"/>
  <c r="B41" i="10" s="1"/>
  <c r="A40" i="10"/>
  <c r="C40" i="10" s="1"/>
  <c r="A39" i="10"/>
  <c r="B39" i="10"/>
  <c r="C45" i="10"/>
  <c r="C39" i="10"/>
  <c r="C41" i="10"/>
  <c r="J42" i="10"/>
  <c r="B43" i="10"/>
  <c r="D43" i="10" s="1"/>
  <c r="E43" i="10" s="1"/>
  <c r="F43" i="10" s="1"/>
  <c r="C43" i="10"/>
  <c r="A38" i="10"/>
  <c r="C38" i="10"/>
  <c r="H41" i="10"/>
  <c r="H38" i="10"/>
  <c r="B28" i="5"/>
  <c r="L27" i="5"/>
  <c r="D23" i="5"/>
  <c r="C23" i="5"/>
  <c r="E23" i="5" s="1"/>
  <c r="D22" i="5"/>
  <c r="C22" i="5"/>
  <c r="E60" i="5"/>
  <c r="A52" i="5"/>
  <c r="B52" i="5"/>
  <c r="E62" i="5"/>
  <c r="H51" i="10"/>
  <c r="A37" i="10"/>
  <c r="A36" i="10"/>
  <c r="A35" i="10"/>
  <c r="I35" i="10"/>
  <c r="E60" i="10"/>
  <c r="D22" i="10"/>
  <c r="E22" i="10" s="1"/>
  <c r="F22" i="10" s="1"/>
  <c r="C22" i="10"/>
  <c r="D21" i="10"/>
  <c r="C21" i="10"/>
  <c r="E21" i="10" s="1"/>
  <c r="F21" i="10" s="1"/>
  <c r="B25" i="9"/>
  <c r="B26" i="9"/>
  <c r="A50" i="9" s="1"/>
  <c r="C50" i="9" s="1"/>
  <c r="B56" i="9"/>
  <c r="B54" i="9"/>
  <c r="D54" i="9"/>
  <c r="B26" i="4"/>
  <c r="I57" i="4"/>
  <c r="B27" i="4"/>
  <c r="J23" i="4"/>
  <c r="C22" i="4"/>
  <c r="E22" i="4" s="1"/>
  <c r="F22" i="4" s="1"/>
  <c r="C21" i="4"/>
  <c r="J56" i="3"/>
  <c r="H56" i="3"/>
  <c r="C56" i="3"/>
  <c r="B56" i="3"/>
  <c r="D56" i="3" s="1"/>
  <c r="J54" i="3"/>
  <c r="H54" i="3"/>
  <c r="C54" i="3"/>
  <c r="B54" i="3"/>
  <c r="F28" i="4"/>
  <c r="C21" i="3"/>
  <c r="E21" i="3"/>
  <c r="D21" i="3"/>
  <c r="F21" i="3" s="1"/>
  <c r="E20" i="3"/>
  <c r="D20" i="3"/>
  <c r="K24" i="3"/>
  <c r="G25" i="3"/>
  <c r="G26" i="3"/>
  <c r="G27" i="3"/>
  <c r="C20" i="3"/>
  <c r="D19" i="7"/>
  <c r="D18" i="7"/>
  <c r="C19" i="7"/>
  <c r="C18" i="7"/>
  <c r="B24" i="7"/>
  <c r="C52" i="7"/>
  <c r="C50" i="7"/>
  <c r="C52" i="11"/>
  <c r="D52" i="11"/>
  <c r="K52" i="11" s="1"/>
  <c r="H46" i="11"/>
  <c r="H45" i="11"/>
  <c r="H40" i="11"/>
  <c r="H60" i="11"/>
  <c r="H58" i="11"/>
  <c r="H52" i="11"/>
  <c r="C37" i="11"/>
  <c r="C46" i="11"/>
  <c r="B39" i="11"/>
  <c r="B46" i="11"/>
  <c r="D46" i="11" s="1"/>
  <c r="K46" i="11" s="1"/>
  <c r="C40" i="11"/>
  <c r="B40" i="11"/>
  <c r="E51" i="11"/>
  <c r="B52" i="11"/>
  <c r="E52" i="11"/>
  <c r="F52" i="11"/>
  <c r="J52" i="11"/>
  <c r="K55" i="11"/>
  <c r="K56" i="11"/>
  <c r="I58" i="11"/>
  <c r="I60" i="11"/>
  <c r="H53" i="10"/>
  <c r="C54" i="10"/>
  <c r="C53" i="10"/>
  <c r="B54" i="10"/>
  <c r="D54" i="10" s="1"/>
  <c r="H52" i="10"/>
  <c r="B46" i="10"/>
  <c r="D46" i="10" s="1"/>
  <c r="B47" i="10"/>
  <c r="C47" i="10"/>
  <c r="D47" i="10"/>
  <c r="K47" i="10" s="1"/>
  <c r="E47" i="10"/>
  <c r="B49" i="10"/>
  <c r="C49" i="10"/>
  <c r="B51" i="10"/>
  <c r="C51" i="10"/>
  <c r="D51" i="10"/>
  <c r="I46" i="10"/>
  <c r="I47" i="10"/>
  <c r="I51" i="10"/>
  <c r="I52" i="10"/>
  <c r="I54" i="10"/>
  <c r="B37" i="10"/>
  <c r="D37" i="10" s="1"/>
  <c r="E37" i="10" s="1"/>
  <c r="B36" i="10"/>
  <c r="C37" i="10"/>
  <c r="H37" i="10"/>
  <c r="I37" i="10"/>
  <c r="N52" i="5"/>
  <c r="N49" i="5"/>
  <c r="D21" i="9"/>
  <c r="D20" i="9"/>
  <c r="C21" i="9"/>
  <c r="C20" i="9"/>
  <c r="D22" i="4"/>
  <c r="D21" i="4"/>
  <c r="J56" i="9"/>
  <c r="A51" i="4"/>
  <c r="C51" i="4"/>
  <c r="A50" i="4"/>
  <c r="B50" i="4"/>
  <c r="A48" i="4"/>
  <c r="H48" i="4"/>
  <c r="A47" i="4"/>
  <c r="A46" i="4"/>
  <c r="A45" i="4"/>
  <c r="A42" i="4"/>
  <c r="A41" i="4"/>
  <c r="I41" i="4" s="1"/>
  <c r="E41" i="4"/>
  <c r="A40" i="4"/>
  <c r="A39" i="4"/>
  <c r="H38" i="4"/>
  <c r="H39" i="4"/>
  <c r="I39" i="4"/>
  <c r="H40" i="4"/>
  <c r="H41" i="4"/>
  <c r="H42" i="4"/>
  <c r="H43" i="4"/>
  <c r="H44" i="4"/>
  <c r="H45" i="4"/>
  <c r="I45" i="4"/>
  <c r="H46" i="4"/>
  <c r="A37" i="4"/>
  <c r="B37" i="4"/>
  <c r="H37" i="4"/>
  <c r="A36" i="4"/>
  <c r="B36" i="4"/>
  <c r="A35" i="4"/>
  <c r="A34" i="4"/>
  <c r="C48" i="4"/>
  <c r="I48" i="4"/>
  <c r="H50" i="4"/>
  <c r="B51" i="4"/>
  <c r="D51" i="4" s="1"/>
  <c r="K51" i="4" s="1"/>
  <c r="I47" i="4"/>
  <c r="B34" i="4"/>
  <c r="E34" i="4"/>
  <c r="H34" i="4"/>
  <c r="I34" i="4"/>
  <c r="N48" i="4"/>
  <c r="N40" i="4"/>
  <c r="D54" i="3"/>
  <c r="K54" i="3" s="1"/>
  <c r="E54" i="3"/>
  <c r="F54" i="3" s="1"/>
  <c r="N39" i="3"/>
  <c r="N47" i="3"/>
  <c r="F26" i="7"/>
  <c r="G34" i="7" s="1"/>
  <c r="H36" i="7"/>
  <c r="H37" i="7"/>
  <c r="H38" i="7"/>
  <c r="H34" i="7"/>
  <c r="K37" i="10"/>
  <c r="K55" i="10"/>
  <c r="K57" i="10"/>
  <c r="E21" i="9"/>
  <c r="F21" i="9" s="1"/>
  <c r="K24" i="9"/>
  <c r="K51" i="9"/>
  <c r="K52" i="9"/>
  <c r="K24" i="4"/>
  <c r="K57" i="5"/>
  <c r="K55" i="5"/>
  <c r="K53" i="4"/>
  <c r="K52" i="4"/>
  <c r="K52" i="3"/>
  <c r="K51" i="3"/>
  <c r="E22" i="5"/>
  <c r="F22" i="5" s="1"/>
  <c r="F20" i="3"/>
  <c r="G20" i="3"/>
  <c r="G21" i="3"/>
  <c r="F23" i="5"/>
  <c r="E18" i="7"/>
  <c r="F18" i="7" s="1"/>
  <c r="E19" i="7"/>
  <c r="F19" i="7"/>
  <c r="I54" i="3"/>
  <c r="I56" i="3"/>
  <c r="C36" i="11"/>
  <c r="B36" i="11"/>
  <c r="E36" i="11"/>
  <c r="I36" i="11"/>
  <c r="C38" i="11"/>
  <c r="B38" i="11"/>
  <c r="F38" i="11" s="1"/>
  <c r="D38" i="11"/>
  <c r="K38" i="11" s="1"/>
  <c r="E38" i="11"/>
  <c r="H38" i="11"/>
  <c r="I38" i="11"/>
  <c r="E39" i="11"/>
  <c r="J39" i="11" s="1"/>
  <c r="F39" i="11"/>
  <c r="I39" i="11"/>
  <c r="E40" i="11"/>
  <c r="I40" i="11"/>
  <c r="J40" i="11"/>
  <c r="I45" i="11"/>
  <c r="E46" i="11"/>
  <c r="J46" i="11"/>
  <c r="F46" i="11"/>
  <c r="I46" i="11"/>
  <c r="K43" i="10"/>
  <c r="J41" i="10"/>
  <c r="F28" i="11"/>
  <c r="B41" i="4"/>
  <c r="F41" i="4" s="1"/>
  <c r="C48" i="10"/>
  <c r="D36" i="11"/>
  <c r="K36" i="11" s="1"/>
  <c r="J54" i="9"/>
  <c r="H35" i="4"/>
  <c r="E48" i="4"/>
  <c r="B48" i="10"/>
  <c r="A33" i="7"/>
  <c r="J22" i="4"/>
  <c r="C52" i="10"/>
  <c r="D52" i="10"/>
  <c r="J22" i="11"/>
  <c r="I37" i="4"/>
  <c r="A41" i="9"/>
  <c r="D42" i="10"/>
  <c r="E42" i="10"/>
  <c r="F42" i="10" s="1"/>
  <c r="F23" i="7"/>
  <c r="B48" i="4"/>
  <c r="D48" i="4" s="1"/>
  <c r="K48" i="4" s="1"/>
  <c r="C41" i="4"/>
  <c r="A41" i="7"/>
  <c r="A45" i="9"/>
  <c r="H45" i="9" s="1"/>
  <c r="E37" i="4"/>
  <c r="J37" i="4" s="1"/>
  <c r="F37" i="4"/>
  <c r="A45" i="7"/>
  <c r="C57" i="4"/>
  <c r="A47" i="9"/>
  <c r="B40" i="10"/>
  <c r="D40" i="10" s="1"/>
  <c r="K40" i="10" s="1"/>
  <c r="J41" i="4"/>
  <c r="C37" i="4"/>
  <c r="D37" i="4"/>
  <c r="K37" i="4"/>
  <c r="H51" i="11"/>
  <c r="C43" i="11"/>
  <c r="A49" i="9"/>
  <c r="J19" i="5"/>
  <c r="H38" i="5"/>
  <c r="H50" i="9"/>
  <c r="E50" i="9"/>
  <c r="J50" i="9" s="1"/>
  <c r="B50" i="9"/>
  <c r="D50" i="9" s="1"/>
  <c r="K50" i="9" s="1"/>
  <c r="I50" i="9"/>
  <c r="J38" i="11"/>
  <c r="B42" i="4"/>
  <c r="E42" i="4"/>
  <c r="I42" i="4"/>
  <c r="C42" i="4"/>
  <c r="C46" i="4"/>
  <c r="I46" i="4"/>
  <c r="B39" i="4"/>
  <c r="D39" i="4" s="1"/>
  <c r="K39" i="4" s="1"/>
  <c r="B47" i="4"/>
  <c r="B55" i="4"/>
  <c r="C39" i="4"/>
  <c r="K20" i="3"/>
  <c r="N33" i="3"/>
  <c r="A32" i="7"/>
  <c r="B32" i="7" s="1"/>
  <c r="A36" i="7"/>
  <c r="A40" i="7"/>
  <c r="A44" i="7"/>
  <c r="I55" i="4"/>
  <c r="I54" i="9"/>
  <c r="C54" i="9"/>
  <c r="C41" i="9"/>
  <c r="D41" i="9" s="1"/>
  <c r="K41" i="9" s="1"/>
  <c r="A36" i="9"/>
  <c r="H36" i="9" s="1"/>
  <c r="A44" i="9"/>
  <c r="E44" i="9" s="1"/>
  <c r="A48" i="9"/>
  <c r="J20" i="9"/>
  <c r="A36" i="5"/>
  <c r="A39" i="5"/>
  <c r="H44" i="5"/>
  <c r="H40" i="5"/>
  <c r="F28" i="5"/>
  <c r="B38" i="10"/>
  <c r="D38" i="10"/>
  <c r="K38" i="10" s="1"/>
  <c r="J16" i="9"/>
  <c r="J17" i="9" s="1"/>
  <c r="N37" i="7"/>
  <c r="A34" i="7"/>
  <c r="A38" i="7"/>
  <c r="A42" i="7"/>
  <c r="A46" i="7"/>
  <c r="J46" i="7" s="1"/>
  <c r="F26" i="4"/>
  <c r="J21" i="4"/>
  <c r="J25" i="4"/>
  <c r="C55" i="4"/>
  <c r="H57" i="4"/>
  <c r="F25" i="9"/>
  <c r="E41" i="9"/>
  <c r="F41" i="9" s="1"/>
  <c r="A46" i="9"/>
  <c r="C58" i="5"/>
  <c r="A41" i="5"/>
  <c r="A53" i="5"/>
  <c r="J60" i="5"/>
  <c r="J17" i="7"/>
  <c r="A41" i="3"/>
  <c r="H41" i="3" s="1"/>
  <c r="A45" i="3"/>
  <c r="A49" i="3"/>
  <c r="C49" i="3" s="1"/>
  <c r="J17" i="4"/>
  <c r="A31" i="7"/>
  <c r="B31" i="7" s="1"/>
  <c r="A35" i="7"/>
  <c r="A39" i="7"/>
  <c r="F27" i="4"/>
  <c r="H55" i="4"/>
  <c r="J21" i="9"/>
  <c r="A39" i="9"/>
  <c r="I39" i="9"/>
  <c r="A42" i="5"/>
  <c r="A46" i="5"/>
  <c r="H41" i="5"/>
  <c r="J27" i="5"/>
  <c r="A42" i="3"/>
  <c r="A46" i="3"/>
  <c r="B45" i="7"/>
  <c r="I45" i="7" s="1"/>
  <c r="H45" i="7"/>
  <c r="E45" i="7"/>
  <c r="C45" i="7"/>
  <c r="H41" i="9"/>
  <c r="B41" i="9"/>
  <c r="J48" i="4"/>
  <c r="D41" i="4"/>
  <c r="K41" i="4"/>
  <c r="K42" i="10"/>
  <c r="H36" i="5"/>
  <c r="C33" i="7"/>
  <c r="E33" i="7"/>
  <c r="B41" i="7"/>
  <c r="C41" i="7"/>
  <c r="D41" i="7" s="1"/>
  <c r="K41" i="7" s="1"/>
  <c r="A38" i="5"/>
  <c r="I38" i="5"/>
  <c r="H37" i="5"/>
  <c r="D48" i="10"/>
  <c r="E48" i="10" s="1"/>
  <c r="B47" i="9"/>
  <c r="E40" i="10"/>
  <c r="F40" i="10"/>
  <c r="B42" i="3"/>
  <c r="J18" i="4"/>
  <c r="N34" i="4"/>
  <c r="M34" i="4"/>
  <c r="C38" i="7"/>
  <c r="E38" i="7"/>
  <c r="F38" i="7" s="1"/>
  <c r="G38" i="7" s="1"/>
  <c r="B38" i="7"/>
  <c r="J44" i="9"/>
  <c r="B44" i="9"/>
  <c r="F44" i="9" s="1"/>
  <c r="C44" i="9"/>
  <c r="H44" i="9"/>
  <c r="C35" i="7"/>
  <c r="I49" i="3"/>
  <c r="H49" i="3"/>
  <c r="I44" i="9"/>
  <c r="C34" i="7"/>
  <c r="D34" i="7" s="1"/>
  <c r="B34" i="7"/>
  <c r="E34" i="7"/>
  <c r="J34" i="7" s="1"/>
  <c r="B36" i="5"/>
  <c r="H44" i="7"/>
  <c r="J55" i="4"/>
  <c r="D55" i="4"/>
  <c r="B39" i="7"/>
  <c r="E39" i="7"/>
  <c r="F39" i="7" s="1"/>
  <c r="G39" i="7" s="1"/>
  <c r="B46" i="9"/>
  <c r="C46" i="9"/>
  <c r="I46" i="9"/>
  <c r="E31" i="7"/>
  <c r="C31" i="7"/>
  <c r="E46" i="7"/>
  <c r="C46" i="7"/>
  <c r="E36" i="9"/>
  <c r="B40" i="7"/>
  <c r="E40" i="7"/>
  <c r="I40" i="7" s="1"/>
  <c r="J40" i="7"/>
  <c r="C40" i="7"/>
  <c r="N36" i="5"/>
  <c r="M36" i="5"/>
  <c r="C32" i="7"/>
  <c r="E32" i="7"/>
  <c r="J32" i="7"/>
  <c r="C46" i="3"/>
  <c r="C39" i="9"/>
  <c r="C41" i="3"/>
  <c r="B41" i="3"/>
  <c r="D41" i="3" s="1"/>
  <c r="K41" i="3" s="1"/>
  <c r="C42" i="7"/>
  <c r="E42" i="7"/>
  <c r="H48" i="9"/>
  <c r="B48" i="9"/>
  <c r="I48" i="9"/>
  <c r="B36" i="7"/>
  <c r="E36" i="7"/>
  <c r="J36" i="7" s="1"/>
  <c r="C36" i="7"/>
  <c r="D36" i="7" s="1"/>
  <c r="K36" i="7" s="1"/>
  <c r="M33" i="3"/>
  <c r="K34" i="7"/>
  <c r="B38" i="5"/>
  <c r="K48" i="10"/>
  <c r="D46" i="9"/>
  <c r="K46" i="9"/>
  <c r="I39" i="7"/>
  <c r="D44" i="9"/>
  <c r="K44" i="9"/>
  <c r="I31" i="7"/>
  <c r="F31" i="7"/>
  <c r="G31" i="7" s="1"/>
  <c r="E55" i="4"/>
  <c r="F55" i="4"/>
  <c r="K55" i="4"/>
  <c r="F36" i="7"/>
  <c r="G36" i="7"/>
  <c r="I36" i="7"/>
  <c r="D32" i="7"/>
  <c r="K32" i="7" s="1"/>
  <c r="F40" i="7"/>
  <c r="G40" i="7" s="1"/>
  <c r="J31" i="7"/>
  <c r="I34" i="7"/>
  <c r="F34" i="7"/>
  <c r="F48" i="10"/>
  <c r="J48" i="10"/>
  <c r="E41" i="3"/>
  <c r="F41" i="3" s="1"/>
  <c r="G41" i="9" l="1"/>
  <c r="B35" i="9"/>
  <c r="D35" i="9" s="1"/>
  <c r="K35" i="9" s="1"/>
  <c r="B33" i="9"/>
  <c r="D47" i="9"/>
  <c r="K47" i="9" s="1"/>
  <c r="B39" i="5"/>
  <c r="D39" i="5" s="1"/>
  <c r="I39" i="5"/>
  <c r="B50" i="7"/>
  <c r="H52" i="7"/>
  <c r="C44" i="7"/>
  <c r="B52" i="7"/>
  <c r="F42" i="4"/>
  <c r="J42" i="4"/>
  <c r="B49" i="11"/>
  <c r="B58" i="11"/>
  <c r="H49" i="11"/>
  <c r="E49" i="11"/>
  <c r="F49" i="11" s="1"/>
  <c r="I49" i="11"/>
  <c r="C49" i="11"/>
  <c r="B60" i="11"/>
  <c r="C41" i="5"/>
  <c r="I41" i="5"/>
  <c r="E46" i="10"/>
  <c r="K46" i="10"/>
  <c r="N35" i="10"/>
  <c r="M35" i="10"/>
  <c r="B46" i="5"/>
  <c r="D46" i="5" s="1"/>
  <c r="C46" i="5"/>
  <c r="C45" i="3"/>
  <c r="B45" i="3"/>
  <c r="D45" i="3" s="1"/>
  <c r="C45" i="9"/>
  <c r="E41" i="7"/>
  <c r="J41" i="7" s="1"/>
  <c r="D51" i="11"/>
  <c r="K51" i="11" s="1"/>
  <c r="D36" i="5"/>
  <c r="C53" i="5"/>
  <c r="H53" i="5"/>
  <c r="C34" i="9"/>
  <c r="H34" i="9"/>
  <c r="H35" i="9"/>
  <c r="B34" i="9"/>
  <c r="D34" i="9" s="1"/>
  <c r="K34" i="9" s="1"/>
  <c r="B36" i="9"/>
  <c r="D36" i="9" s="1"/>
  <c r="K36" i="9" s="1"/>
  <c r="I36" i="9"/>
  <c r="H49" i="9"/>
  <c r="K54" i="9"/>
  <c r="E54" i="9"/>
  <c r="F54" i="9" s="1"/>
  <c r="C33" i="3"/>
  <c r="B33" i="3"/>
  <c r="D33" i="3" s="1"/>
  <c r="H33" i="3"/>
  <c r="M33" i="9"/>
  <c r="C36" i="9"/>
  <c r="H42" i="11"/>
  <c r="C42" i="11"/>
  <c r="E42" i="11"/>
  <c r="F42" i="11" s="1"/>
  <c r="J42" i="11"/>
  <c r="I42" i="11"/>
  <c r="C34" i="3"/>
  <c r="B34" i="3"/>
  <c r="D34" i="3" s="1"/>
  <c r="H34" i="3"/>
  <c r="N41" i="11"/>
  <c r="F29" i="11"/>
  <c r="N50" i="11"/>
  <c r="J25" i="11"/>
  <c r="J28" i="11" s="1"/>
  <c r="J21" i="11"/>
  <c r="J18" i="11"/>
  <c r="J27" i="11"/>
  <c r="F30" i="11"/>
  <c r="J23" i="11"/>
  <c r="J38" i="7"/>
  <c r="B44" i="7"/>
  <c r="D44" i="7" s="1"/>
  <c r="K44" i="7" s="1"/>
  <c r="K56" i="3"/>
  <c r="E56" i="3"/>
  <c r="F56" i="3" s="1"/>
  <c r="H43" i="11"/>
  <c r="B43" i="11"/>
  <c r="D43" i="11" s="1"/>
  <c r="K43" i="11" s="1"/>
  <c r="I43" i="11"/>
  <c r="J43" i="11"/>
  <c r="E43" i="11"/>
  <c r="F28" i="10"/>
  <c r="I39" i="10"/>
  <c r="I43" i="10"/>
  <c r="H50" i="10"/>
  <c r="J58" i="10"/>
  <c r="J20" i="10"/>
  <c r="J24" i="10"/>
  <c r="J38" i="10"/>
  <c r="H43" i="10"/>
  <c r="H46" i="10"/>
  <c r="B60" i="10"/>
  <c r="D60" i="10" s="1"/>
  <c r="K60" i="10" s="1"/>
  <c r="N52" i="10"/>
  <c r="F27" i="10"/>
  <c r="J21" i="10"/>
  <c r="F26" i="10"/>
  <c r="J40" i="10"/>
  <c r="H39" i="10"/>
  <c r="H44" i="10"/>
  <c r="H45" i="10"/>
  <c r="H60" i="10"/>
  <c r="N47" i="10"/>
  <c r="I44" i="10"/>
  <c r="J39" i="10"/>
  <c r="J43" i="10"/>
  <c r="I41" i="10"/>
  <c r="H48" i="10"/>
  <c r="C60" i="10"/>
  <c r="I58" i="10"/>
  <c r="I42" i="10"/>
  <c r="J26" i="10"/>
  <c r="C58" i="10"/>
  <c r="J44" i="10"/>
  <c r="H42" i="10"/>
  <c r="H47" i="10"/>
  <c r="I38" i="10"/>
  <c r="I60" i="10"/>
  <c r="H40" i="10"/>
  <c r="I40" i="10"/>
  <c r="H58" i="10"/>
  <c r="N39" i="10"/>
  <c r="C39" i="5"/>
  <c r="I32" i="7"/>
  <c r="F32" i="7"/>
  <c r="G32" i="7" s="1"/>
  <c r="B53" i="5"/>
  <c r="D39" i="7"/>
  <c r="K39" i="7" s="1"/>
  <c r="F34" i="4"/>
  <c r="J18" i="7"/>
  <c r="H33" i="7"/>
  <c r="J37" i="10"/>
  <c r="F37" i="10"/>
  <c r="E51" i="10"/>
  <c r="K51" i="10"/>
  <c r="B58" i="10"/>
  <c r="D58" i="10" s="1"/>
  <c r="I52" i="5"/>
  <c r="C52" i="5"/>
  <c r="D52" i="5" s="1"/>
  <c r="H52" i="5"/>
  <c r="E44" i="7"/>
  <c r="C36" i="4"/>
  <c r="D36" i="4" s="1"/>
  <c r="K36" i="4" s="1"/>
  <c r="E36" i="4"/>
  <c r="H36" i="4"/>
  <c r="I36" i="4"/>
  <c r="E50" i="11"/>
  <c r="I50" i="11"/>
  <c r="J50" i="11"/>
  <c r="B50" i="11"/>
  <c r="D50" i="11" s="1"/>
  <c r="K50" i="11" s="1"/>
  <c r="C50" i="11"/>
  <c r="I49" i="9"/>
  <c r="C36" i="5"/>
  <c r="I36" i="5"/>
  <c r="I47" i="9"/>
  <c r="H47" i="9"/>
  <c r="E52" i="10"/>
  <c r="K52" i="10"/>
  <c r="B45" i="9"/>
  <c r="D45" i="9" s="1"/>
  <c r="K45" i="9" s="1"/>
  <c r="E49" i="9"/>
  <c r="F49" i="9" s="1"/>
  <c r="G49" i="9" s="1"/>
  <c r="B42" i="5"/>
  <c r="C42" i="5"/>
  <c r="I42" i="5"/>
  <c r="C39" i="7"/>
  <c r="J39" i="7"/>
  <c r="N45" i="11"/>
  <c r="J47" i="10"/>
  <c r="F47" i="10"/>
  <c r="E54" i="10"/>
  <c r="K54" i="10"/>
  <c r="B42" i="11"/>
  <c r="E37" i="11"/>
  <c r="B37" i="11"/>
  <c r="D37" i="11" s="1"/>
  <c r="K37" i="11" s="1"/>
  <c r="I37" i="11"/>
  <c r="H37" i="11"/>
  <c r="H43" i="3"/>
  <c r="C43" i="3"/>
  <c r="B43" i="3"/>
  <c r="D43" i="3" s="1"/>
  <c r="J41" i="3"/>
  <c r="J44" i="7"/>
  <c r="N33" i="9"/>
  <c r="C38" i="5"/>
  <c r="D38" i="5" s="1"/>
  <c r="I53" i="5"/>
  <c r="B41" i="5"/>
  <c r="D41" i="5" s="1"/>
  <c r="E47" i="9"/>
  <c r="C49" i="9"/>
  <c r="H46" i="3"/>
  <c r="B46" i="3"/>
  <c r="D46" i="3" s="1"/>
  <c r="I46" i="3"/>
  <c r="E35" i="7"/>
  <c r="J35" i="7"/>
  <c r="B35" i="7"/>
  <c r="D35" i="7" s="1"/>
  <c r="K35" i="7" s="1"/>
  <c r="I41" i="3"/>
  <c r="I38" i="7"/>
  <c r="J36" i="9"/>
  <c r="C35" i="9"/>
  <c r="D45" i="7"/>
  <c r="K45" i="7" s="1"/>
  <c r="F50" i="9"/>
  <c r="G50" i="9" s="1"/>
  <c r="H33" i="9"/>
  <c r="I46" i="5"/>
  <c r="H45" i="3"/>
  <c r="H50" i="7"/>
  <c r="B49" i="3"/>
  <c r="D49" i="3" s="1"/>
  <c r="D38" i="7"/>
  <c r="K38" i="7" s="1"/>
  <c r="C47" i="9"/>
  <c r="B49" i="9"/>
  <c r="H42" i="3"/>
  <c r="C42" i="3"/>
  <c r="D42" i="3" s="1"/>
  <c r="E39" i="9"/>
  <c r="F39" i="9" s="1"/>
  <c r="G39" i="9" s="1"/>
  <c r="B39" i="9"/>
  <c r="D39" i="9" s="1"/>
  <c r="K39" i="9" s="1"/>
  <c r="H39" i="9"/>
  <c r="E45" i="9"/>
  <c r="B35" i="4"/>
  <c r="D35" i="4" s="1"/>
  <c r="K35" i="4" s="1"/>
  <c r="E35" i="4"/>
  <c r="C35" i="4"/>
  <c r="I35" i="4"/>
  <c r="J49" i="11"/>
  <c r="F51" i="11"/>
  <c r="J60" i="10"/>
  <c r="H49" i="10"/>
  <c r="H47" i="5"/>
  <c r="A48" i="5"/>
  <c r="I58" i="5"/>
  <c r="C60" i="5"/>
  <c r="A37" i="5"/>
  <c r="N42" i="5"/>
  <c r="A44" i="5"/>
  <c r="F27" i="5"/>
  <c r="A51" i="5"/>
  <c r="J28" i="5"/>
  <c r="A45" i="5"/>
  <c r="H42" i="5"/>
  <c r="J58" i="5"/>
  <c r="H39" i="5"/>
  <c r="H60" i="5"/>
  <c r="F29" i="5"/>
  <c r="I60" i="5"/>
  <c r="J22" i="5"/>
  <c r="A49" i="5"/>
  <c r="B58" i="5"/>
  <c r="D58" i="5" s="1"/>
  <c r="H45" i="5"/>
  <c r="J21" i="5"/>
  <c r="A40" i="5"/>
  <c r="A43" i="5"/>
  <c r="B60" i="5"/>
  <c r="A50" i="5"/>
  <c r="H48" i="5"/>
  <c r="J25" i="5"/>
  <c r="H43" i="5"/>
  <c r="A47" i="5"/>
  <c r="H58" i="5"/>
  <c r="H46" i="5"/>
  <c r="A54" i="5"/>
  <c r="C44" i="10"/>
  <c r="B44" i="10"/>
  <c r="J30" i="10"/>
  <c r="A50" i="3"/>
  <c r="A40" i="3"/>
  <c r="A35" i="3"/>
  <c r="K28" i="3"/>
  <c r="A48" i="3"/>
  <c r="A36" i="3"/>
  <c r="A47" i="3"/>
  <c r="A38" i="3"/>
  <c r="A44" i="3"/>
  <c r="A39" i="3"/>
  <c r="A37" i="3"/>
  <c r="E50" i="4"/>
  <c r="F50" i="4" s="1"/>
  <c r="J50" i="4"/>
  <c r="C50" i="4"/>
  <c r="D50" i="4" s="1"/>
  <c r="K50" i="4" s="1"/>
  <c r="I50" i="4"/>
  <c r="I45" i="10"/>
  <c r="B45" i="10"/>
  <c r="D45" i="10" s="1"/>
  <c r="B50" i="10"/>
  <c r="D50" i="10" s="1"/>
  <c r="I50" i="10"/>
  <c r="J51" i="11"/>
  <c r="I51" i="11"/>
  <c r="J45" i="7"/>
  <c r="F45" i="7"/>
  <c r="G45" i="7" s="1"/>
  <c r="D31" i="7"/>
  <c r="K31" i="7" s="1"/>
  <c r="J42" i="7"/>
  <c r="B42" i="7"/>
  <c r="D42" i="7" s="1"/>
  <c r="K42" i="7" s="1"/>
  <c r="E48" i="9"/>
  <c r="F48" i="9" s="1"/>
  <c r="G48" i="9" s="1"/>
  <c r="C48" i="9"/>
  <c r="D48" i="9" s="1"/>
  <c r="K48" i="9" s="1"/>
  <c r="J41" i="9"/>
  <c r="E39" i="4"/>
  <c r="F39" i="4" s="1"/>
  <c r="J39" i="4"/>
  <c r="B46" i="4"/>
  <c r="D46" i="4" s="1"/>
  <c r="K46" i="4" s="1"/>
  <c r="E46" i="4"/>
  <c r="C35" i="10"/>
  <c r="B35" i="10"/>
  <c r="D35" i="10" s="1"/>
  <c r="H35" i="10"/>
  <c r="D41" i="10"/>
  <c r="B46" i="7"/>
  <c r="H46" i="7"/>
  <c r="D42" i="4"/>
  <c r="K42" i="4" s="1"/>
  <c r="E45" i="4"/>
  <c r="B45" i="4"/>
  <c r="C45" i="4"/>
  <c r="D40" i="11"/>
  <c r="K40" i="11" s="1"/>
  <c r="F40" i="11"/>
  <c r="F29" i="4"/>
  <c r="E44" i="11"/>
  <c r="F44" i="11" s="1"/>
  <c r="H44" i="11"/>
  <c r="B44" i="11"/>
  <c r="C44" i="11"/>
  <c r="I44" i="11"/>
  <c r="D40" i="7"/>
  <c r="K40" i="7" s="1"/>
  <c r="E38" i="10"/>
  <c r="F38" i="10" s="1"/>
  <c r="E46" i="9"/>
  <c r="H46" i="9"/>
  <c r="J33" i="7"/>
  <c r="B33" i="7"/>
  <c r="F48" i="4"/>
  <c r="G48" i="4" s="1"/>
  <c r="C51" i="11"/>
  <c r="I40" i="4"/>
  <c r="C40" i="4"/>
  <c r="E40" i="4"/>
  <c r="B40" i="4"/>
  <c r="D40" i="4" s="1"/>
  <c r="K40" i="4" s="1"/>
  <c r="C47" i="4"/>
  <c r="D47" i="4" s="1"/>
  <c r="K47" i="4" s="1"/>
  <c r="B57" i="4"/>
  <c r="E47" i="4"/>
  <c r="F47" i="4" s="1"/>
  <c r="H47" i="4"/>
  <c r="J47" i="4"/>
  <c r="I51" i="4"/>
  <c r="H51" i="4"/>
  <c r="E51" i="4"/>
  <c r="F51" i="4" s="1"/>
  <c r="J51" i="4"/>
  <c r="F26" i="9"/>
  <c r="N47" i="9"/>
  <c r="J24" i="9"/>
  <c r="N39" i="9"/>
  <c r="A37" i="9"/>
  <c r="F27" i="9"/>
  <c r="F28" i="9" s="1"/>
  <c r="G44" i="9" s="1"/>
  <c r="A40" i="9"/>
  <c r="I56" i="9"/>
  <c r="A38" i="9"/>
  <c r="I38" i="9" s="1"/>
  <c r="I41" i="9"/>
  <c r="A43" i="9"/>
  <c r="I37" i="9"/>
  <c r="I40" i="9"/>
  <c r="C56" i="9"/>
  <c r="D56" i="9" s="1"/>
  <c r="A42" i="9"/>
  <c r="J28" i="9"/>
  <c r="I43" i="9"/>
  <c r="I45" i="9"/>
  <c r="I36" i="10"/>
  <c r="C36" i="10"/>
  <c r="D36" i="10" s="1"/>
  <c r="H36" i="10"/>
  <c r="E24" i="11"/>
  <c r="F24" i="11" s="1"/>
  <c r="H35" i="7"/>
  <c r="H42" i="7"/>
  <c r="F25" i="7"/>
  <c r="H39" i="7"/>
  <c r="M36" i="7"/>
  <c r="J26" i="7"/>
  <c r="H40" i="7"/>
  <c r="J19" i="7"/>
  <c r="H41" i="7"/>
  <c r="F24" i="7"/>
  <c r="H43" i="7"/>
  <c r="A43" i="7"/>
  <c r="A37" i="7"/>
  <c r="G28" i="3"/>
  <c r="G54" i="3" s="1"/>
  <c r="B53" i="10"/>
  <c r="D53" i="10" s="1"/>
  <c r="I53" i="10"/>
  <c r="C39" i="11"/>
  <c r="D39" i="11" s="1"/>
  <c r="K39" i="11" s="1"/>
  <c r="C45" i="11"/>
  <c r="E45" i="11"/>
  <c r="B45" i="11"/>
  <c r="D45" i="11" s="1"/>
  <c r="K45" i="11" s="1"/>
  <c r="J45" i="11"/>
  <c r="F36" i="11"/>
  <c r="D49" i="10"/>
  <c r="E21" i="4"/>
  <c r="F21" i="4" s="1"/>
  <c r="A33" i="9"/>
  <c r="H56" i="9" s="1"/>
  <c r="A34" i="9"/>
  <c r="A35" i="9"/>
  <c r="J36" i="11"/>
  <c r="H36" i="11"/>
  <c r="C34" i="4"/>
  <c r="D34" i="4" s="1"/>
  <c r="K34" i="4" s="1"/>
  <c r="J34" i="4"/>
  <c r="A44" i="4"/>
  <c r="J29" i="4"/>
  <c r="D39" i="10"/>
  <c r="A53" i="11"/>
  <c r="A48" i="11"/>
  <c r="A38" i="4"/>
  <c r="A43" i="4"/>
  <c r="A49" i="4"/>
  <c r="E20" i="9"/>
  <c r="F20" i="9" s="1"/>
  <c r="E23" i="11"/>
  <c r="F23" i="11" s="1"/>
  <c r="A41" i="11"/>
  <c r="A47" i="11"/>
  <c r="A54" i="11"/>
  <c r="E42" i="3" l="1"/>
  <c r="K42" i="3"/>
  <c r="E36" i="10"/>
  <c r="K36" i="10"/>
  <c r="E35" i="9"/>
  <c r="F35" i="9" s="1"/>
  <c r="G35" i="9" s="1"/>
  <c r="J35" i="9"/>
  <c r="I35" i="9"/>
  <c r="B58" i="3"/>
  <c r="E58" i="3"/>
  <c r="E61" i="3"/>
  <c r="B61" i="3"/>
  <c r="B62" i="10"/>
  <c r="B65" i="10"/>
  <c r="K49" i="3"/>
  <c r="E49" i="3"/>
  <c r="K52" i="5"/>
  <c r="E52" i="5"/>
  <c r="F60" i="10"/>
  <c r="J44" i="11"/>
  <c r="D45" i="4"/>
  <c r="K45" i="4" s="1"/>
  <c r="B44" i="3"/>
  <c r="C44" i="3"/>
  <c r="H44" i="3"/>
  <c r="F30" i="5"/>
  <c r="J31" i="5"/>
  <c r="K36" i="5"/>
  <c r="E36" i="5"/>
  <c r="G42" i="4"/>
  <c r="C38" i="4"/>
  <c r="B38" i="4"/>
  <c r="D38" i="4" s="1"/>
  <c r="K38" i="4" s="1"/>
  <c r="E38" i="4"/>
  <c r="F38" i="4" s="1"/>
  <c r="G38" i="4" s="1"/>
  <c r="J38" i="4"/>
  <c r="I38" i="4"/>
  <c r="J20" i="7"/>
  <c r="N44" i="7" s="1"/>
  <c r="G40" i="11"/>
  <c r="B40" i="3"/>
  <c r="H40" i="3"/>
  <c r="C40" i="3"/>
  <c r="I51" i="5"/>
  <c r="H51" i="5"/>
  <c r="B51" i="5"/>
  <c r="C51" i="5"/>
  <c r="F47" i="9"/>
  <c r="G47" i="9" s="1"/>
  <c r="J47" i="9"/>
  <c r="C47" i="3"/>
  <c r="H47" i="3"/>
  <c r="I47" i="3"/>
  <c r="B47" i="3"/>
  <c r="E41" i="5"/>
  <c r="K41" i="5"/>
  <c r="F36" i="9"/>
  <c r="G36" i="9" s="1"/>
  <c r="E62" i="4"/>
  <c r="E59" i="4"/>
  <c r="K53" i="10"/>
  <c r="E53" i="10"/>
  <c r="K41" i="10"/>
  <c r="E41" i="10"/>
  <c r="F41" i="10" s="1"/>
  <c r="C45" i="5"/>
  <c r="I45" i="5"/>
  <c r="B45" i="5"/>
  <c r="E38" i="5"/>
  <c r="K38" i="5"/>
  <c r="D33" i="9"/>
  <c r="K33" i="9" s="1"/>
  <c r="J43" i="4"/>
  <c r="B43" i="4"/>
  <c r="I43" i="4"/>
  <c r="C43" i="4"/>
  <c r="E43" i="4"/>
  <c r="F43" i="4" s="1"/>
  <c r="G43" i="4" s="1"/>
  <c r="B42" i="9"/>
  <c r="C42" i="9"/>
  <c r="H42" i="9"/>
  <c r="E42" i="9"/>
  <c r="I33" i="7"/>
  <c r="F33" i="7"/>
  <c r="G33" i="7" s="1"/>
  <c r="D33" i="7"/>
  <c r="K33" i="7" s="1"/>
  <c r="G37" i="4"/>
  <c r="G41" i="4"/>
  <c r="C35" i="3"/>
  <c r="B35" i="3"/>
  <c r="D35" i="3" s="1"/>
  <c r="H35" i="3"/>
  <c r="K46" i="5"/>
  <c r="E46" i="5"/>
  <c r="C53" i="11"/>
  <c r="I53" i="11"/>
  <c r="J53" i="11"/>
  <c r="H53" i="11"/>
  <c r="B53" i="11"/>
  <c r="E53" i="11"/>
  <c r="F53" i="11" s="1"/>
  <c r="E49" i="10"/>
  <c r="K49" i="10"/>
  <c r="E54" i="7"/>
  <c r="E57" i="7"/>
  <c r="G47" i="4"/>
  <c r="F46" i="9"/>
  <c r="G46" i="9" s="1"/>
  <c r="J46" i="9"/>
  <c r="D44" i="11"/>
  <c r="K44" i="11" s="1"/>
  <c r="E50" i="10"/>
  <c r="K50" i="10"/>
  <c r="G50" i="4"/>
  <c r="C36" i="3"/>
  <c r="H36" i="3"/>
  <c r="B36" i="3"/>
  <c r="D36" i="3" s="1"/>
  <c r="E65" i="10"/>
  <c r="E62" i="10"/>
  <c r="F60" i="5"/>
  <c r="G60" i="5" s="1"/>
  <c r="D60" i="5"/>
  <c r="K60" i="5" s="1"/>
  <c r="B49" i="5"/>
  <c r="D49" i="5" s="1"/>
  <c r="H49" i="5"/>
  <c r="I49" i="5"/>
  <c r="C49" i="5"/>
  <c r="C44" i="5"/>
  <c r="I44" i="5"/>
  <c r="B44" i="5"/>
  <c r="D44" i="5" s="1"/>
  <c r="J39" i="9"/>
  <c r="H54" i="9"/>
  <c r="K43" i="3"/>
  <c r="E43" i="3"/>
  <c r="J37" i="11"/>
  <c r="F37" i="11"/>
  <c r="G37" i="11" s="1"/>
  <c r="F42" i="7"/>
  <c r="G42" i="7" s="1"/>
  <c r="G55" i="4"/>
  <c r="F51" i="10"/>
  <c r="J51" i="10"/>
  <c r="F29" i="10"/>
  <c r="G56" i="3"/>
  <c r="J31" i="11"/>
  <c r="F31" i="11"/>
  <c r="G44" i="11" s="1"/>
  <c r="J58" i="11"/>
  <c r="D58" i="11"/>
  <c r="C49" i="4"/>
  <c r="I49" i="4"/>
  <c r="H49" i="4"/>
  <c r="E49" i="4"/>
  <c r="J49" i="4"/>
  <c r="B49" i="4"/>
  <c r="B61" i="9"/>
  <c r="E58" i="9"/>
  <c r="B58" i="9"/>
  <c r="E61" i="9"/>
  <c r="J46" i="4"/>
  <c r="F46" i="4"/>
  <c r="G46" i="4" s="1"/>
  <c r="H39" i="3"/>
  <c r="C39" i="3"/>
  <c r="B39" i="3"/>
  <c r="D39" i="3" s="1"/>
  <c r="I40" i="5"/>
  <c r="B40" i="5"/>
  <c r="C40" i="5"/>
  <c r="I37" i="5"/>
  <c r="C37" i="5"/>
  <c r="B37" i="5"/>
  <c r="D37" i="5" s="1"/>
  <c r="F36" i="4"/>
  <c r="G36" i="4" s="1"/>
  <c r="J36" i="4"/>
  <c r="K45" i="3"/>
  <c r="E45" i="3"/>
  <c r="B54" i="11"/>
  <c r="D54" i="11" s="1"/>
  <c r="K54" i="11" s="1"/>
  <c r="I54" i="11"/>
  <c r="H54" i="11"/>
  <c r="E54" i="11"/>
  <c r="F54" i="11" s="1"/>
  <c r="G54" i="11" s="1"/>
  <c r="C54" i="11"/>
  <c r="J54" i="11"/>
  <c r="E44" i="4"/>
  <c r="C44" i="4"/>
  <c r="I44" i="4"/>
  <c r="B44" i="4"/>
  <c r="D44" i="4" s="1"/>
  <c r="K44" i="4" s="1"/>
  <c r="E34" i="9"/>
  <c r="F34" i="9" s="1"/>
  <c r="G34" i="9" s="1"/>
  <c r="I34" i="9"/>
  <c r="B38" i="9"/>
  <c r="D38" i="9" s="1"/>
  <c r="K38" i="9" s="1"/>
  <c r="E38" i="9"/>
  <c r="F38" i="9" s="1"/>
  <c r="G38" i="9" s="1"/>
  <c r="H38" i="9"/>
  <c r="C38" i="9"/>
  <c r="G51" i="11"/>
  <c r="J54" i="10"/>
  <c r="F54" i="10"/>
  <c r="G54" i="10" s="1"/>
  <c r="D53" i="5"/>
  <c r="J19" i="11"/>
  <c r="N36" i="11" s="1"/>
  <c r="G42" i="11"/>
  <c r="K39" i="5"/>
  <c r="E39" i="5"/>
  <c r="E47" i="11"/>
  <c r="F47" i="11" s="1"/>
  <c r="G47" i="11" s="1"/>
  <c r="B47" i="11"/>
  <c r="H47" i="11"/>
  <c r="C47" i="11"/>
  <c r="I47" i="11"/>
  <c r="I33" i="9"/>
  <c r="C33" i="9"/>
  <c r="E33" i="9"/>
  <c r="F33" i="9" s="1"/>
  <c r="G33" i="9" s="1"/>
  <c r="J33" i="9"/>
  <c r="F45" i="11"/>
  <c r="G45" i="11" s="1"/>
  <c r="K56" i="9"/>
  <c r="E56" i="9"/>
  <c r="F56" i="9" s="1"/>
  <c r="G56" i="9" s="1"/>
  <c r="F40" i="4"/>
  <c r="G40" i="4" s="1"/>
  <c r="J40" i="4"/>
  <c r="F45" i="4"/>
  <c r="G45" i="4" s="1"/>
  <c r="B38" i="3"/>
  <c r="H38" i="3"/>
  <c r="C38" i="3"/>
  <c r="B54" i="5"/>
  <c r="C54" i="5"/>
  <c r="H54" i="5"/>
  <c r="I54" i="5"/>
  <c r="F45" i="9"/>
  <c r="G45" i="9" s="1"/>
  <c r="E58" i="10"/>
  <c r="F58" i="10" s="1"/>
  <c r="G58" i="10" s="1"/>
  <c r="K58" i="10"/>
  <c r="M31" i="7"/>
  <c r="N31" i="7"/>
  <c r="H31" i="7"/>
  <c r="H32" i="7"/>
  <c r="J49" i="9"/>
  <c r="F46" i="10"/>
  <c r="G46" i="10" s="1"/>
  <c r="J46" i="10"/>
  <c r="G49" i="11"/>
  <c r="E52" i="7"/>
  <c r="J52" i="7"/>
  <c r="D52" i="7"/>
  <c r="K52" i="7" s="1"/>
  <c r="C41" i="11"/>
  <c r="B41" i="11"/>
  <c r="I41" i="11"/>
  <c r="H41" i="11"/>
  <c r="E41" i="11"/>
  <c r="F41" i="11" s="1"/>
  <c r="G41" i="11" s="1"/>
  <c r="J41" i="11"/>
  <c r="H48" i="11"/>
  <c r="C48" i="11"/>
  <c r="E48" i="11"/>
  <c r="F48" i="11" s="1"/>
  <c r="G48" i="11" s="1"/>
  <c r="B48" i="11"/>
  <c r="D48" i="11" s="1"/>
  <c r="K48" i="11" s="1"/>
  <c r="I48" i="11"/>
  <c r="C37" i="7"/>
  <c r="E37" i="7"/>
  <c r="B37" i="7"/>
  <c r="I42" i="9"/>
  <c r="H40" i="9"/>
  <c r="E40" i="9"/>
  <c r="B40" i="9"/>
  <c r="D40" i="9" s="1"/>
  <c r="K40" i="9" s="1"/>
  <c r="C40" i="9"/>
  <c r="E35" i="10"/>
  <c r="K35" i="10"/>
  <c r="G39" i="4"/>
  <c r="B50" i="3"/>
  <c r="H50" i="3"/>
  <c r="C50" i="3"/>
  <c r="I50" i="3"/>
  <c r="B50" i="5"/>
  <c r="C50" i="5"/>
  <c r="I50" i="5"/>
  <c r="E58" i="5"/>
  <c r="F58" i="5" s="1"/>
  <c r="G58" i="5" s="1"/>
  <c r="K58" i="5"/>
  <c r="I48" i="5"/>
  <c r="C48" i="5"/>
  <c r="B48" i="5"/>
  <c r="D49" i="9"/>
  <c r="K49" i="9" s="1"/>
  <c r="J45" i="9"/>
  <c r="F35" i="7"/>
  <c r="G35" i="7" s="1"/>
  <c r="I35" i="7"/>
  <c r="F52" i="10"/>
  <c r="J52" i="10"/>
  <c r="F50" i="11"/>
  <c r="G50" i="11" s="1"/>
  <c r="F44" i="7"/>
  <c r="G44" i="7" s="1"/>
  <c r="I44" i="7"/>
  <c r="G34" i="4"/>
  <c r="E34" i="3"/>
  <c r="K34" i="3"/>
  <c r="E33" i="3"/>
  <c r="K33" i="3"/>
  <c r="F41" i="7"/>
  <c r="G41" i="7" s="1"/>
  <c r="I41" i="7"/>
  <c r="E43" i="7"/>
  <c r="C43" i="7"/>
  <c r="B43" i="7"/>
  <c r="D43" i="7" s="1"/>
  <c r="K43" i="7" s="1"/>
  <c r="J43" i="7"/>
  <c r="E39" i="10"/>
  <c r="F39" i="10" s="1"/>
  <c r="K39" i="10"/>
  <c r="G36" i="11"/>
  <c r="B43" i="9"/>
  <c r="C43" i="9"/>
  <c r="J43" i="9"/>
  <c r="E43" i="9"/>
  <c r="H43" i="9"/>
  <c r="H37" i="9"/>
  <c r="E37" i="9"/>
  <c r="C37" i="9"/>
  <c r="B37" i="9"/>
  <c r="D37" i="9" s="1"/>
  <c r="K37" i="9" s="1"/>
  <c r="G51" i="4"/>
  <c r="D57" i="4"/>
  <c r="J57" i="4"/>
  <c r="G38" i="10"/>
  <c r="J45" i="4"/>
  <c r="D46" i="7"/>
  <c r="K46" i="7" s="1"/>
  <c r="I46" i="7"/>
  <c r="F46" i="7"/>
  <c r="G46" i="7" s="1"/>
  <c r="J48" i="9"/>
  <c r="E45" i="10"/>
  <c r="K45" i="10"/>
  <c r="H37" i="3"/>
  <c r="C37" i="3"/>
  <c r="B37" i="3"/>
  <c r="C48" i="3"/>
  <c r="H48" i="3"/>
  <c r="I48" i="3"/>
  <c r="B48" i="3"/>
  <c r="D44" i="10"/>
  <c r="I47" i="5"/>
  <c r="C47" i="5"/>
  <c r="B47" i="5"/>
  <c r="D47" i="5" s="1"/>
  <c r="B43" i="5"/>
  <c r="I43" i="5"/>
  <c r="C43" i="5"/>
  <c r="J23" i="5"/>
  <c r="H50" i="5" s="1"/>
  <c r="F35" i="4"/>
  <c r="G35" i="4" s="1"/>
  <c r="J35" i="4"/>
  <c r="I42" i="7"/>
  <c r="E46" i="3"/>
  <c r="K46" i="3"/>
  <c r="D42" i="11"/>
  <c r="K42" i="11" s="1"/>
  <c r="D42" i="5"/>
  <c r="F43" i="11"/>
  <c r="G43" i="11" s="1"/>
  <c r="G54" i="9"/>
  <c r="D60" i="11"/>
  <c r="J60" i="11"/>
  <c r="D49" i="11"/>
  <c r="K49" i="11" s="1"/>
  <c r="D50" i="7"/>
  <c r="K50" i="7" s="1"/>
  <c r="E50" i="7"/>
  <c r="J50" i="7"/>
  <c r="G41" i="3"/>
  <c r="J52" i="5" l="1"/>
  <c r="F52" i="5"/>
  <c r="G52" i="5" s="1"/>
  <c r="E42" i="5"/>
  <c r="K42" i="5"/>
  <c r="E47" i="5"/>
  <c r="K47" i="5"/>
  <c r="F37" i="7"/>
  <c r="G37" i="7" s="1"/>
  <c r="I37" i="7"/>
  <c r="F45" i="3"/>
  <c r="G45" i="3" s="1"/>
  <c r="I45" i="3"/>
  <c r="J45" i="3"/>
  <c r="E39" i="3"/>
  <c r="K39" i="3"/>
  <c r="E60" i="11"/>
  <c r="F60" i="11" s="1"/>
  <c r="G60" i="11" s="1"/>
  <c r="K60" i="11"/>
  <c r="D50" i="5"/>
  <c r="F40" i="9"/>
  <c r="G40" i="9" s="1"/>
  <c r="D38" i="3"/>
  <c r="J47" i="11"/>
  <c r="E44" i="5"/>
  <c r="K44" i="5"/>
  <c r="F46" i="3"/>
  <c r="G46" i="3" s="1"/>
  <c r="J46" i="3"/>
  <c r="F45" i="10"/>
  <c r="G45" i="10" s="1"/>
  <c r="J45" i="10"/>
  <c r="F33" i="3"/>
  <c r="G33" i="3" s="1"/>
  <c r="I33" i="3"/>
  <c r="J33" i="3"/>
  <c r="J48" i="11"/>
  <c r="G48" i="10"/>
  <c r="G43" i="10"/>
  <c r="G42" i="10"/>
  <c r="G40" i="10"/>
  <c r="F50" i="10"/>
  <c r="G50" i="10" s="1"/>
  <c r="J50" i="10"/>
  <c r="E35" i="3"/>
  <c r="K35" i="3"/>
  <c r="D42" i="9"/>
  <c r="K42" i="9" s="1"/>
  <c r="D51" i="5"/>
  <c r="F36" i="5"/>
  <c r="G36" i="5" s="1"/>
  <c r="J36" i="5"/>
  <c r="F50" i="7"/>
  <c r="G50" i="7" s="1"/>
  <c r="I50" i="7"/>
  <c r="K44" i="10"/>
  <c r="E44" i="10"/>
  <c r="F44" i="10" s="1"/>
  <c r="G44" i="10" s="1"/>
  <c r="B59" i="4"/>
  <c r="B62" i="4"/>
  <c r="F37" i="9"/>
  <c r="G37" i="9" s="1"/>
  <c r="D43" i="9"/>
  <c r="K43" i="9" s="1"/>
  <c r="D48" i="5"/>
  <c r="F35" i="10"/>
  <c r="G35" i="10" s="1"/>
  <c r="J35" i="10"/>
  <c r="B57" i="7"/>
  <c r="B54" i="7"/>
  <c r="G47" i="10"/>
  <c r="D54" i="5"/>
  <c r="M36" i="11"/>
  <c r="J34" i="9"/>
  <c r="E37" i="5"/>
  <c r="K37" i="5"/>
  <c r="D40" i="5"/>
  <c r="D49" i="4"/>
  <c r="K49" i="4" s="1"/>
  <c r="K58" i="11"/>
  <c r="E58" i="11"/>
  <c r="F58" i="11" s="1"/>
  <c r="G58" i="11" s="1"/>
  <c r="I43" i="3"/>
  <c r="F43" i="3"/>
  <c r="G43" i="3" s="1"/>
  <c r="J43" i="3"/>
  <c r="K49" i="5"/>
  <c r="E49" i="5"/>
  <c r="E36" i="3"/>
  <c r="K36" i="3"/>
  <c r="G41" i="10"/>
  <c r="D40" i="3"/>
  <c r="D44" i="3"/>
  <c r="F49" i="3"/>
  <c r="G49" i="3" s="1"/>
  <c r="J49" i="3"/>
  <c r="G37" i="10"/>
  <c r="D43" i="5"/>
  <c r="D48" i="3"/>
  <c r="D37" i="3"/>
  <c r="E57" i="4"/>
  <c r="F57" i="4" s="1"/>
  <c r="G57" i="4" s="1"/>
  <c r="K57" i="4"/>
  <c r="F43" i="7"/>
  <c r="G43" i="7" s="1"/>
  <c r="I43" i="7"/>
  <c r="F34" i="3"/>
  <c r="G34" i="3" s="1"/>
  <c r="I34" i="3"/>
  <c r="J34" i="3"/>
  <c r="G52" i="10"/>
  <c r="D37" i="7"/>
  <c r="K37" i="7" s="1"/>
  <c r="I52" i="7"/>
  <c r="F52" i="7"/>
  <c r="G52" i="7" s="1"/>
  <c r="D47" i="11"/>
  <c r="K47" i="11" s="1"/>
  <c r="F44" i="4"/>
  <c r="G44" i="4" s="1"/>
  <c r="G51" i="10"/>
  <c r="J49" i="10"/>
  <c r="F49" i="10"/>
  <c r="G49" i="10" s="1"/>
  <c r="F42" i="9"/>
  <c r="G42" i="9" s="1"/>
  <c r="F38" i="5"/>
  <c r="G38" i="5" s="1"/>
  <c r="J38" i="5"/>
  <c r="E65" i="5"/>
  <c r="B65" i="5"/>
  <c r="B62" i="5"/>
  <c r="F36" i="10"/>
  <c r="G36" i="10" s="1"/>
  <c r="J36" i="10"/>
  <c r="F49" i="4"/>
  <c r="G49" i="4" s="1"/>
  <c r="G38" i="11"/>
  <c r="G39" i="11"/>
  <c r="G52" i="11"/>
  <c r="G46" i="11"/>
  <c r="G53" i="11"/>
  <c r="F46" i="5"/>
  <c r="G46" i="5" s="1"/>
  <c r="J46" i="5"/>
  <c r="D45" i="5"/>
  <c r="J53" i="10"/>
  <c r="F53" i="10"/>
  <c r="G53" i="10" s="1"/>
  <c r="F41" i="5"/>
  <c r="G41" i="5" s="1"/>
  <c r="J41" i="5"/>
  <c r="M44" i="7"/>
  <c r="B65" i="11"/>
  <c r="B62" i="11"/>
  <c r="J37" i="9"/>
  <c r="F43" i="9"/>
  <c r="G43" i="9" s="1"/>
  <c r="G39" i="10"/>
  <c r="D50" i="3"/>
  <c r="J40" i="9"/>
  <c r="J37" i="7"/>
  <c r="D41" i="11"/>
  <c r="K41" i="11" s="1"/>
  <c r="F39" i="5"/>
  <c r="G39" i="5" s="1"/>
  <c r="J39" i="5"/>
  <c r="E53" i="5"/>
  <c r="K53" i="5"/>
  <c r="J38" i="9"/>
  <c r="J44" i="4"/>
  <c r="E62" i="11"/>
  <c r="E65" i="11"/>
  <c r="D53" i="11"/>
  <c r="K53" i="11" s="1"/>
  <c r="J42" i="9"/>
  <c r="D43" i="4"/>
  <c r="K43" i="4" s="1"/>
  <c r="D47" i="3"/>
  <c r="G60" i="10"/>
  <c r="I42" i="3"/>
  <c r="F42" i="3"/>
  <c r="G42" i="3" s="1"/>
  <c r="J42" i="3"/>
  <c r="I39" i="3" l="1"/>
  <c r="F39" i="3"/>
  <c r="G39" i="3" s="1"/>
  <c r="J39" i="3"/>
  <c r="E43" i="5"/>
  <c r="K43" i="5"/>
  <c r="I35" i="3"/>
  <c r="F35" i="3"/>
  <c r="G35" i="3" s="1"/>
  <c r="J35" i="3"/>
  <c r="K38" i="3"/>
  <c r="E38" i="3"/>
  <c r="K45" i="5"/>
  <c r="E45" i="5"/>
  <c r="F37" i="5"/>
  <c r="G37" i="5" s="1"/>
  <c r="J37" i="5"/>
  <c r="F47" i="5"/>
  <c r="G47" i="5" s="1"/>
  <c r="J47" i="5"/>
  <c r="F53" i="5"/>
  <c r="G53" i="5" s="1"/>
  <c r="J53" i="5"/>
  <c r="E50" i="3"/>
  <c r="K50" i="3"/>
  <c r="I36" i="3"/>
  <c r="F36" i="3"/>
  <c r="G36" i="3" s="1"/>
  <c r="J36" i="3"/>
  <c r="E50" i="5"/>
  <c r="K50" i="5"/>
  <c r="F49" i="5"/>
  <c r="G49" i="5" s="1"/>
  <c r="J49" i="5"/>
  <c r="K51" i="5"/>
  <c r="E51" i="5"/>
  <c r="F42" i="5"/>
  <c r="G42" i="5" s="1"/>
  <c r="J42" i="5"/>
  <c r="E37" i="3"/>
  <c r="K37" i="3"/>
  <c r="E44" i="3"/>
  <c r="K44" i="3"/>
  <c r="K54" i="5"/>
  <c r="E54" i="5"/>
  <c r="K48" i="5"/>
  <c r="E48" i="5"/>
  <c r="F44" i="5"/>
  <c r="G44" i="5" s="1"/>
  <c r="J44" i="5"/>
  <c r="E47" i="3"/>
  <c r="K47" i="3"/>
  <c r="E48" i="3"/>
  <c r="K48" i="3"/>
  <c r="K40" i="3"/>
  <c r="E40" i="3"/>
  <c r="E40" i="5"/>
  <c r="K40" i="5"/>
  <c r="F40" i="5" l="1"/>
  <c r="G40" i="5" s="1"/>
  <c r="J40" i="5"/>
  <c r="F50" i="5"/>
  <c r="G50" i="5" s="1"/>
  <c r="J50" i="5"/>
  <c r="F40" i="3"/>
  <c r="G40" i="3" s="1"/>
  <c r="I40" i="3"/>
  <c r="J40" i="3"/>
  <c r="F51" i="5"/>
  <c r="G51" i="5" s="1"/>
  <c r="J51" i="5"/>
  <c r="F38" i="3"/>
  <c r="G38" i="3" s="1"/>
  <c r="I38" i="3"/>
  <c r="J38" i="3"/>
  <c r="F48" i="5"/>
  <c r="G48" i="5" s="1"/>
  <c r="J48" i="5"/>
  <c r="F48" i="3"/>
  <c r="G48" i="3" s="1"/>
  <c r="J48" i="3"/>
  <c r="F37" i="3"/>
  <c r="G37" i="3" s="1"/>
  <c r="I37" i="3"/>
  <c r="J37" i="3"/>
  <c r="F47" i="3"/>
  <c r="G47" i="3" s="1"/>
  <c r="J47" i="3"/>
  <c r="F45" i="5"/>
  <c r="G45" i="5" s="1"/>
  <c r="J45" i="5"/>
  <c r="F44" i="3"/>
  <c r="G44" i="3" s="1"/>
  <c r="I44" i="3"/>
  <c r="J44" i="3"/>
  <c r="F43" i="5"/>
  <c r="G43" i="5" s="1"/>
  <c r="J43" i="5"/>
  <c r="F54" i="5"/>
  <c r="G54" i="5" s="1"/>
  <c r="J54" i="5"/>
  <c r="F50" i="3"/>
  <c r="G50" i="3" s="1"/>
  <c r="J50" i="3"/>
</calcChain>
</file>

<file path=xl/sharedStrings.xml><?xml version="1.0" encoding="utf-8"?>
<sst xmlns="http://schemas.openxmlformats.org/spreadsheetml/2006/main" count="868" uniqueCount="132">
  <si>
    <t>mm</t>
  </si>
  <si>
    <t>g</t>
  </si>
  <si>
    <t>gewählt:</t>
  </si>
  <si>
    <t>WN</t>
  </si>
  <si>
    <t>HN</t>
  </si>
  <si>
    <t xml:space="preserve">A </t>
  </si>
  <si>
    <r>
      <t>l</t>
    </r>
    <r>
      <rPr>
        <b/>
        <vertAlign val="subscript"/>
        <sz val="10"/>
        <rFont val="Arial"/>
        <family val="2"/>
      </rPr>
      <t>u</t>
    </r>
  </si>
  <si>
    <r>
      <t>r</t>
    </r>
    <r>
      <rPr>
        <b/>
        <vertAlign val="subscript"/>
        <sz val="10"/>
        <rFont val="Arial"/>
        <family val="2"/>
      </rPr>
      <t>hy</t>
    </r>
  </si>
  <si>
    <t>m</t>
  </si>
  <si>
    <t>Gewählt:</t>
  </si>
  <si>
    <t>Abmessungen:</t>
  </si>
  <si>
    <t>Vouten:</t>
  </si>
  <si>
    <t>Stiel oben</t>
  </si>
  <si>
    <t>Stiel unten</t>
  </si>
  <si>
    <t>Sohle</t>
  </si>
  <si>
    <t>m/s</t>
  </si>
  <si>
    <t>Fließ-               tiefe</t>
  </si>
  <si>
    <t>Abfluß-querschnitt</t>
  </si>
  <si>
    <t>benetzter       Umfang</t>
  </si>
  <si>
    <t>hydr.  Radius</t>
  </si>
  <si>
    <t>Fließ-          geschwin-   digkeit</t>
  </si>
  <si>
    <t>Abfluß</t>
  </si>
  <si>
    <t>Abfluß-         verhältnis</t>
  </si>
  <si>
    <t>Foude-Zahl</t>
  </si>
  <si>
    <t>Energie-          höhe</t>
  </si>
  <si>
    <t>v</t>
  </si>
  <si>
    <t>Fr</t>
  </si>
  <si>
    <t>-</t>
  </si>
  <si>
    <r>
      <t>Q</t>
    </r>
    <r>
      <rPr>
        <vertAlign val="subscript"/>
        <sz val="10"/>
        <rFont val="Arial"/>
        <family val="2"/>
      </rPr>
      <t>max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</si>
  <si>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</t>
    </r>
  </si>
  <si>
    <r>
      <t>I</t>
    </r>
    <r>
      <rPr>
        <vertAlign val="subscript"/>
        <sz val="10"/>
        <rFont val="Arial"/>
        <family val="2"/>
      </rPr>
      <t>s</t>
    </r>
  </si>
  <si>
    <r>
      <t>0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00</t>
    </r>
  </si>
  <si>
    <r>
      <t>k</t>
    </r>
    <r>
      <rPr>
        <vertAlign val="subscript"/>
        <sz val="10"/>
        <rFont val="Arial"/>
        <family val="2"/>
      </rPr>
      <t>b</t>
    </r>
  </si>
  <si>
    <r>
      <t>m/s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</si>
  <si>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</t>
    </r>
  </si>
  <si>
    <r>
      <t>A</t>
    </r>
    <r>
      <rPr>
        <b/>
        <vertAlign val="subscript"/>
        <sz val="10"/>
        <rFont val="Arial"/>
        <family val="2"/>
      </rPr>
      <t>erf</t>
    </r>
    <r>
      <rPr>
        <b/>
        <sz val="10"/>
        <rFont val="Arial"/>
        <family val="2"/>
      </rPr>
      <t xml:space="preserve"> </t>
    </r>
  </si>
  <si>
    <r>
      <t>m</t>
    </r>
    <r>
      <rPr>
        <vertAlign val="superscript"/>
        <sz val="10"/>
        <rFont val="Arial"/>
        <family val="2"/>
      </rPr>
      <t>2</t>
    </r>
  </si>
  <si>
    <r>
      <t>l</t>
    </r>
    <r>
      <rPr>
        <vertAlign val="subscript"/>
        <sz val="10"/>
        <rFont val="Arial"/>
        <family val="2"/>
      </rPr>
      <t>u</t>
    </r>
  </si>
  <si>
    <r>
      <t>r</t>
    </r>
    <r>
      <rPr>
        <vertAlign val="subscript"/>
        <sz val="10"/>
        <rFont val="Arial"/>
        <family val="2"/>
      </rPr>
      <t>hy</t>
    </r>
  </si>
  <si>
    <r>
      <t>Q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>/Q</t>
    </r>
    <r>
      <rPr>
        <vertAlign val="subscript"/>
        <sz val="10"/>
        <rFont val="Arial"/>
        <family val="2"/>
      </rPr>
      <t>v</t>
    </r>
  </si>
  <si>
    <r>
      <t>h</t>
    </r>
    <r>
      <rPr>
        <vertAlign val="subscript"/>
        <sz val="10"/>
        <rFont val="Arial"/>
        <family val="2"/>
      </rPr>
      <t>ET</t>
    </r>
  </si>
  <si>
    <t>Die Berechnung erfolgt iterativ</t>
  </si>
  <si>
    <t>Maximalabfluß</t>
  </si>
  <si>
    <t>Sohlgefälle</t>
  </si>
  <si>
    <t>betriebliche Rauhheit</t>
  </si>
  <si>
    <t>Fallbeschleunigung</t>
  </si>
  <si>
    <t>kinematische Zähigkeit</t>
  </si>
  <si>
    <r>
      <t>v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      =</t>
    </r>
  </si>
  <si>
    <r>
      <t>h</t>
    </r>
    <r>
      <rPr>
        <vertAlign val="subscript"/>
        <sz val="10"/>
        <rFont val="Arial"/>
        <family val="2"/>
      </rPr>
      <t xml:space="preserve">EV      </t>
    </r>
    <r>
      <rPr>
        <sz val="10"/>
        <rFont val="Arial"/>
        <family val="2"/>
      </rPr>
      <t>=</t>
    </r>
  </si>
  <si>
    <t>Berechnung der Teilfüllungswerte:</t>
  </si>
  <si>
    <r>
      <t xml:space="preserve"> h</t>
    </r>
    <r>
      <rPr>
        <vertAlign val="subscript"/>
        <sz val="10"/>
        <rFont val="Arial"/>
        <family val="2"/>
      </rPr>
      <t xml:space="preserve">ET        </t>
    </r>
    <r>
      <rPr>
        <sz val="10"/>
        <rFont val="Arial"/>
        <family val="2"/>
      </rPr>
      <t xml:space="preserve">= </t>
    </r>
  </si>
  <si>
    <r>
      <t>h</t>
    </r>
    <r>
      <rPr>
        <vertAlign val="subscript"/>
        <sz val="10"/>
        <rFont val="Arial"/>
        <family val="2"/>
      </rPr>
      <t>EV</t>
    </r>
    <r>
      <rPr>
        <sz val="10"/>
        <rFont val="Arial"/>
        <family val="2"/>
      </rPr>
      <t xml:space="preserve">       =</t>
    </r>
  </si>
  <si>
    <t>Reduktion der Querschnittshöhe möglich</t>
  </si>
  <si>
    <t xml:space="preserve">Bemessung auf Vollfüllung </t>
  </si>
  <si>
    <r>
      <t>A</t>
    </r>
    <r>
      <rPr>
        <vertAlign val="subscript"/>
        <sz val="10"/>
        <rFont val="Arial"/>
        <family val="2"/>
      </rPr>
      <t xml:space="preserve">v         </t>
    </r>
    <r>
      <rPr>
        <sz val="10"/>
        <rFont val="Arial"/>
        <family val="2"/>
      </rPr>
      <t>=</t>
    </r>
  </si>
  <si>
    <r>
      <t>r</t>
    </r>
    <r>
      <rPr>
        <vertAlign val="subscript"/>
        <sz val="10"/>
        <rFont val="Arial"/>
        <family val="2"/>
      </rPr>
      <t>Ri</t>
    </r>
  </si>
  <si>
    <t>Trockenwetterrinne:</t>
  </si>
  <si>
    <r>
      <t>r</t>
    </r>
    <r>
      <rPr>
        <b/>
        <vertAlign val="subscript"/>
        <sz val="10"/>
        <rFont val="Arial"/>
        <family val="2"/>
      </rPr>
      <t>Ri</t>
    </r>
  </si>
  <si>
    <t>Geometrische Vorgaben:</t>
  </si>
  <si>
    <t>Hydraulische Vorgaben:</t>
  </si>
  <si>
    <t>Decke</t>
  </si>
  <si>
    <r>
      <t>h</t>
    </r>
    <r>
      <rPr>
        <vertAlign val="subscript"/>
        <sz val="10"/>
        <rFont val="Arial"/>
        <family val="2"/>
      </rPr>
      <t>T</t>
    </r>
  </si>
  <si>
    <r>
      <t>l</t>
    </r>
    <r>
      <rPr>
        <vertAlign val="subscript"/>
        <sz val="10"/>
        <rFont val="Arial"/>
        <family val="2"/>
      </rPr>
      <t>uv</t>
    </r>
    <r>
      <rPr>
        <sz val="10"/>
        <rFont val="Arial"/>
        <family val="2"/>
      </rPr>
      <t xml:space="preserve">       =</t>
    </r>
  </si>
  <si>
    <r>
      <t>B</t>
    </r>
    <r>
      <rPr>
        <vertAlign val="subscript"/>
        <sz val="10"/>
        <rFont val="Arial"/>
        <family val="2"/>
      </rPr>
      <t xml:space="preserve">Ri      </t>
    </r>
  </si>
  <si>
    <r>
      <t>H</t>
    </r>
    <r>
      <rPr>
        <vertAlign val="subscript"/>
        <sz val="10"/>
        <rFont val="Arial"/>
        <family val="2"/>
      </rPr>
      <t xml:space="preserve">Ri      </t>
    </r>
  </si>
  <si>
    <t>m         &lt;</t>
  </si>
  <si>
    <t>m         &gt;</t>
  </si>
  <si>
    <t>Bemessungsabfluß</t>
  </si>
  <si>
    <r>
      <t>B</t>
    </r>
    <r>
      <rPr>
        <vertAlign val="subscript"/>
        <sz val="10"/>
        <rFont val="Arial"/>
        <family val="2"/>
      </rPr>
      <t>Ri</t>
    </r>
  </si>
  <si>
    <t>Berme</t>
  </si>
  <si>
    <r>
      <t>b</t>
    </r>
    <r>
      <rPr>
        <vertAlign val="subscript"/>
        <sz val="10"/>
        <rFont val="Arial"/>
        <family val="2"/>
      </rPr>
      <t>B</t>
    </r>
  </si>
  <si>
    <r>
      <t>Berechnung der erforderlichen Abflußquerschnittsfläche   (A &gt;= A</t>
    </r>
    <r>
      <rPr>
        <vertAlign val="subscript"/>
        <sz val="10"/>
        <rFont val="Arial"/>
        <family val="2"/>
      </rPr>
      <t>erf</t>
    </r>
    <r>
      <rPr>
        <sz val="10"/>
        <rFont val="Arial"/>
        <family val="2"/>
      </rPr>
      <t>)</t>
    </r>
  </si>
  <si>
    <r>
      <t>Q</t>
    </r>
    <r>
      <rPr>
        <vertAlign val="subscript"/>
        <sz val="10"/>
        <rFont val="Arial"/>
        <family val="2"/>
      </rPr>
      <t>t</t>
    </r>
  </si>
  <si>
    <r>
      <t>Fließtiefe bei Trockenwetter Q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:</t>
    </r>
  </si>
  <si>
    <r>
      <t>Fließtiefe beim Bemessungsabfluß Q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>:</t>
    </r>
  </si>
  <si>
    <t>Bermenneigung:</t>
  </si>
  <si>
    <r>
      <t>h</t>
    </r>
    <r>
      <rPr>
        <b/>
        <vertAlign val="subscript"/>
        <sz val="10"/>
        <rFont val="Arial"/>
        <family val="2"/>
      </rPr>
      <t>T</t>
    </r>
  </si>
  <si>
    <r>
      <t>H</t>
    </r>
    <r>
      <rPr>
        <b/>
        <vertAlign val="subscript"/>
        <sz val="9"/>
        <rFont val="Arial"/>
        <family val="2"/>
      </rPr>
      <t xml:space="preserve">Ri      </t>
    </r>
  </si>
  <si>
    <r>
      <t>h</t>
    </r>
    <r>
      <rPr>
        <b/>
        <vertAlign val="subscript"/>
        <sz val="10"/>
        <rFont val="Arial"/>
        <family val="2"/>
      </rPr>
      <t>B</t>
    </r>
  </si>
  <si>
    <r>
      <t>H</t>
    </r>
    <r>
      <rPr>
        <b/>
        <vertAlign val="subscript"/>
        <sz val="9"/>
        <rFont val="Arial"/>
        <family val="2"/>
      </rPr>
      <t>Ri</t>
    </r>
    <r>
      <rPr>
        <b/>
        <sz val="9"/>
        <rFont val="Arial"/>
        <family val="2"/>
      </rPr>
      <t xml:space="preserve">      </t>
    </r>
  </si>
  <si>
    <r>
      <t xml:space="preserve">1  :  n  =  </t>
    </r>
    <r>
      <rPr>
        <b/>
        <sz val="10"/>
        <rFont val="Arial"/>
        <family val="2"/>
      </rPr>
      <t>1 :</t>
    </r>
  </si>
  <si>
    <r>
      <t>S</t>
    </r>
    <r>
      <rPr>
        <vertAlign val="subscript"/>
        <sz val="10"/>
        <rFont val="Arial"/>
        <family val="2"/>
      </rPr>
      <t>Ri</t>
    </r>
  </si>
  <si>
    <t xml:space="preserve">Hydraulische Berechnung </t>
  </si>
  <si>
    <t>Wand-schub-    spannung</t>
  </si>
  <si>
    <t>Energiehöhe:</t>
  </si>
  <si>
    <r>
      <t>h</t>
    </r>
    <r>
      <rPr>
        <vertAlign val="subscript"/>
        <sz val="10"/>
        <rFont val="Arial"/>
        <family val="2"/>
      </rPr>
      <t xml:space="preserve">EV               </t>
    </r>
    <r>
      <rPr>
        <sz val="10"/>
        <rFont val="Arial"/>
        <family val="2"/>
      </rPr>
      <t>=</t>
    </r>
  </si>
  <si>
    <r>
      <t>N/m</t>
    </r>
    <r>
      <rPr>
        <vertAlign val="superscript"/>
        <sz val="10"/>
        <rFont val="Arial"/>
        <family val="2"/>
      </rPr>
      <t>2</t>
    </r>
  </si>
  <si>
    <r>
      <t>τ</t>
    </r>
    <r>
      <rPr>
        <vertAlign val="subscript"/>
        <sz val="12"/>
        <rFont val="Calibri"/>
        <family val="2"/>
      </rPr>
      <t>vorh</t>
    </r>
  </si>
  <si>
    <t>Stahlbetonrechteckprofil mit Normalquerschnitt</t>
  </si>
  <si>
    <t>Stahlbetonrechteckprofil mit Trockenwetterrinne (kreissegmentförmig)</t>
  </si>
  <si>
    <t>Wasser-    spiegel-     breite</t>
  </si>
  <si>
    <r>
      <t>b</t>
    </r>
    <r>
      <rPr>
        <vertAlign val="subscript"/>
        <sz val="10"/>
        <rFont val="Arial"/>
        <family val="2"/>
      </rPr>
      <t>sp</t>
    </r>
  </si>
  <si>
    <r>
      <t>H</t>
    </r>
    <r>
      <rPr>
        <b/>
        <vertAlign val="subscript"/>
        <sz val="10"/>
        <rFont val="Arial"/>
        <family val="2"/>
      </rPr>
      <t xml:space="preserve">Ri      </t>
    </r>
  </si>
  <si>
    <t>Trockenwetterrinne</t>
  </si>
  <si>
    <t>Tiefe Kreissegment</t>
  </si>
  <si>
    <t>Gerinnetiefe</t>
  </si>
  <si>
    <t>Bermenbreite</t>
  </si>
  <si>
    <t>Bermenneigung</t>
  </si>
  <si>
    <t>Stahlbetonrechteckprofil mit Trockenwetterrinne (trapezförmig)</t>
  </si>
  <si>
    <t>Stahlbetonrechteckprofil mit Trockenwetterrinne (dreiecksförmig)</t>
  </si>
  <si>
    <t>Trockenwettergerinne</t>
  </si>
  <si>
    <r>
      <t>H</t>
    </r>
    <r>
      <rPr>
        <vertAlign val="subscript"/>
        <sz val="10"/>
        <rFont val="Arial"/>
        <family val="2"/>
      </rPr>
      <t>Ri</t>
    </r>
  </si>
  <si>
    <t xml:space="preserve">Bermenneigung 1 : n </t>
  </si>
  <si>
    <t>1 :</t>
  </si>
  <si>
    <t>Stahlbetonrechteckprofil mit Trockenwetterrinne (Gerinne und Auftritt/Berme)</t>
  </si>
  <si>
    <t>Stahlbetonrechteckprofil mit Trockenwetterrinne (drachenförmig)</t>
  </si>
  <si>
    <t>Abfluß bei Vollfüllung:</t>
  </si>
  <si>
    <r>
      <t>Q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     =</t>
    </r>
  </si>
  <si>
    <r>
      <t>A</t>
    </r>
    <r>
      <rPr>
        <b/>
        <vertAlign val="subscript"/>
        <sz val="10"/>
        <rFont val="Arial"/>
        <family val="2"/>
      </rPr>
      <t xml:space="preserve">v         </t>
    </r>
    <r>
      <rPr>
        <b/>
        <sz val="10"/>
        <rFont val="Arial"/>
        <family val="2"/>
      </rPr>
      <t>=</t>
    </r>
  </si>
  <si>
    <r>
      <t>v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      =</t>
    </r>
  </si>
  <si>
    <r>
      <t>Q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      =</t>
    </r>
  </si>
  <si>
    <r>
      <t>v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       =</t>
    </r>
  </si>
  <si>
    <r>
      <t>h</t>
    </r>
    <r>
      <rPr>
        <vertAlign val="subscript"/>
        <sz val="10"/>
        <rFont val="Arial"/>
        <family val="2"/>
      </rPr>
      <t>B</t>
    </r>
  </si>
  <si>
    <t>Wandschub-    spannung</t>
  </si>
  <si>
    <t>Fließtiefe beim Bemessungsabfluß Qmax:</t>
  </si>
  <si>
    <t>Sohlbreite</t>
  </si>
  <si>
    <r>
      <t>S</t>
    </r>
    <r>
      <rPr>
        <vertAlign val="subscript"/>
        <sz val="10"/>
        <rFont val="Arial"/>
        <family val="2"/>
      </rPr>
      <t xml:space="preserve">Ri      </t>
    </r>
  </si>
  <si>
    <t>Gerinnebreite</t>
  </si>
  <si>
    <t xml:space="preserve">Berme </t>
  </si>
  <si>
    <t>Stahlbetonrechteckprofil mit Trockenwetterrinne (Trapezgerinne)</t>
  </si>
  <si>
    <r>
      <t xml:space="preserve">1 : n       </t>
    </r>
    <r>
      <rPr>
        <b/>
        <sz val="10"/>
        <rFont val="Arial"/>
        <family val="2"/>
      </rPr>
      <t xml:space="preserve"> 1 :</t>
    </r>
  </si>
  <si>
    <r>
      <t>DN</t>
    </r>
    <r>
      <rPr>
        <vertAlign val="subscript"/>
        <sz val="10"/>
        <rFont val="Arial"/>
        <family val="2"/>
      </rPr>
      <t>TWR</t>
    </r>
  </si>
  <si>
    <r>
      <t>Gerinnetiefe</t>
    </r>
    <r>
      <rPr>
        <sz val="9"/>
        <rFont val="Arial"/>
      </rPr>
      <t xml:space="preserve"> </t>
    </r>
    <r>
      <rPr>
        <sz val="9"/>
        <rFont val="Arial"/>
        <family val="2"/>
      </rPr>
      <t>(H</t>
    </r>
    <r>
      <rPr>
        <vertAlign val="subscript"/>
        <sz val="9"/>
        <rFont val="i"/>
      </rPr>
      <t>Ri</t>
    </r>
    <r>
      <rPr>
        <sz val="9"/>
        <rFont val="Arial"/>
        <family val="2"/>
      </rPr>
      <t>&lt;=r</t>
    </r>
    <r>
      <rPr>
        <vertAlign val="subscript"/>
        <sz val="9"/>
        <rFont val="Arial"/>
        <family val="2"/>
      </rPr>
      <t>Ri</t>
    </r>
    <r>
      <rPr>
        <sz val="9"/>
        <rFont val="Arial"/>
        <family val="2"/>
      </rPr>
      <t>&lt;=DN</t>
    </r>
    <r>
      <rPr>
        <vertAlign val="subscript"/>
        <sz val="9"/>
        <rFont val="Arial"/>
        <family val="2"/>
      </rPr>
      <t>TWR</t>
    </r>
    <r>
      <rPr>
        <sz val="9"/>
        <rFont val="Arial"/>
        <family val="2"/>
      </rPr>
      <t>)</t>
    </r>
  </si>
  <si>
    <t>15.03.2016 / E.Va</t>
  </si>
  <si>
    <t>Rechteckquerschnitt</t>
  </si>
  <si>
    <t>14.03.2016 / E.Va</t>
  </si>
  <si>
    <t>07.4.2016 / E.Va.</t>
  </si>
  <si>
    <t>07.4.2016 / E.Va</t>
  </si>
  <si>
    <t>08.04.2016 / E.Va</t>
  </si>
  <si>
    <r>
      <t xml:space="preserve">1 : n   =   </t>
    </r>
    <r>
      <rPr>
        <b/>
        <sz val="10"/>
        <rFont val="Arial"/>
        <family val="2"/>
      </rPr>
      <t>1 :</t>
    </r>
  </si>
  <si>
    <t xml:space="preserve">Bermenneigung </t>
  </si>
  <si>
    <t>Fließtiefen: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</si>
</sst>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"/>
    <numFmt numFmtId="167" formatCode="0.0000"/>
    <numFmt numFmtId="168" formatCode=";;;"/>
  </numFmts>
  <fonts count="22">
    <font>
      <sz val="10"/>
      <name val="Arial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12"/>
      <name val="Calibri"/>
      <family val="2"/>
    </font>
    <font>
      <vertAlign val="subscript"/>
      <sz val="12"/>
      <name val="Calibri"/>
      <family val="2"/>
    </font>
    <font>
      <b/>
      <sz val="14"/>
      <name val="Arial"/>
      <family val="2"/>
    </font>
    <font>
      <sz val="8"/>
      <name val="Arial"/>
    </font>
    <font>
      <sz val="10"/>
      <color indexed="8"/>
      <name val="Arial"/>
    </font>
    <font>
      <b/>
      <sz val="12"/>
      <color indexed="12"/>
      <name val="Arial"/>
      <family val="2"/>
    </font>
    <font>
      <b/>
      <i/>
      <sz val="10"/>
      <name val="Arial"/>
      <family val="2"/>
    </font>
    <font>
      <sz val="9"/>
      <name val="Arial"/>
    </font>
    <font>
      <vertAlign val="subscript"/>
      <sz val="9"/>
      <name val="i"/>
    </font>
    <font>
      <vertAlign val="subscript"/>
      <sz val="9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348">
    <xf numFmtId="0" fontId="0" fillId="0" borderId="0" xfId="0"/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vertical="center"/>
      <protection hidden="1"/>
    </xf>
    <xf numFmtId="11" fontId="0" fillId="0" borderId="0" xfId="0" applyNumberForma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6" fontId="1" fillId="0" borderId="10" xfId="0" applyNumberFormat="1" applyFont="1" applyBorder="1" applyAlignment="1" applyProtection="1">
      <alignment horizontal="center" vertical="center"/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166" fontId="1" fillId="0" borderId="8" xfId="0" applyNumberFormat="1" applyFont="1" applyBorder="1" applyAlignment="1" applyProtection="1">
      <alignment horizontal="center" vertical="center"/>
      <protection hidden="1"/>
    </xf>
    <xf numFmtId="166" fontId="0" fillId="0" borderId="8" xfId="0" applyNumberFormat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166" fontId="0" fillId="3" borderId="0" xfId="0" applyNumberForma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11" fontId="0" fillId="3" borderId="0" xfId="0" applyNumberFormat="1" applyFill="1" applyBorder="1" applyAlignment="1" applyProtection="1">
      <alignment vertical="center"/>
      <protection hidden="1"/>
    </xf>
    <xf numFmtId="2" fontId="0" fillId="3" borderId="0" xfId="0" applyNumberFormat="1" applyFill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166" fontId="0" fillId="0" borderId="5" xfId="0" applyNumberFormat="1" applyBorder="1" applyAlignment="1" applyProtection="1">
      <alignment horizontal="center" vertical="center"/>
      <protection hidden="1"/>
    </xf>
    <xf numFmtId="166" fontId="1" fillId="0" borderId="5" xfId="0" applyNumberFormat="1" applyFont="1" applyBorder="1" applyAlignment="1" applyProtection="1">
      <alignment horizontal="center" vertical="center"/>
      <protection hidden="1"/>
    </xf>
    <xf numFmtId="2" fontId="0" fillId="0" borderId="5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166" fontId="1" fillId="0" borderId="1" xfId="0" applyNumberFormat="1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0" borderId="10" xfId="0" applyNumberFormat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vertical="center"/>
      <protection hidden="1"/>
    </xf>
    <xf numFmtId="166" fontId="0" fillId="0" borderId="2" xfId="0" applyNumberFormat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18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right" vertical="center"/>
      <protection hidden="1"/>
    </xf>
    <xf numFmtId="166" fontId="0" fillId="3" borderId="5" xfId="0" applyNumberFormat="1" applyFill="1" applyBorder="1" applyAlignment="1" applyProtection="1">
      <alignment horizontal="center" vertical="center"/>
      <protection hidden="1"/>
    </xf>
    <xf numFmtId="166" fontId="1" fillId="3" borderId="5" xfId="0" applyNumberFormat="1" applyFont="1" applyFill="1" applyBorder="1" applyAlignment="1" applyProtection="1">
      <alignment horizontal="center" vertical="center"/>
      <protection hidden="1"/>
    </xf>
    <xf numFmtId="166" fontId="0" fillId="3" borderId="8" xfId="0" applyNumberFormat="1" applyFill="1" applyBorder="1" applyAlignment="1" applyProtection="1">
      <alignment horizontal="center" vertical="center"/>
      <protection hidden="1"/>
    </xf>
    <xf numFmtId="166" fontId="1" fillId="3" borderId="8" xfId="0" applyNumberFormat="1" applyFont="1" applyFill="1" applyBorder="1" applyAlignment="1" applyProtection="1">
      <alignment horizontal="center" vertical="center"/>
      <protection hidden="1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166" fontId="4" fillId="3" borderId="8" xfId="0" applyNumberFormat="1" applyFont="1" applyFill="1" applyBorder="1" applyAlignment="1" applyProtection="1">
      <alignment horizontal="center" vertical="center"/>
      <protection hidden="1"/>
    </xf>
    <xf numFmtId="166" fontId="0" fillId="0" borderId="20" xfId="0" applyNumberFormat="1" applyBorder="1" applyAlignment="1" applyProtection="1">
      <alignment horizontal="center" vertical="center"/>
      <protection hidden="1"/>
    </xf>
    <xf numFmtId="166" fontId="1" fillId="0" borderId="20" xfId="0" applyNumberFormat="1" applyFont="1" applyBorder="1" applyAlignment="1" applyProtection="1">
      <alignment horizontal="center" vertical="center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2" fontId="0" fillId="3" borderId="0" xfId="0" applyNumberFormat="1" applyFill="1" applyBorder="1" applyAlignment="1" applyProtection="1">
      <alignment horizontal="center" vertical="center"/>
      <protection hidden="1"/>
    </xf>
    <xf numFmtId="166" fontId="1" fillId="0" borderId="21" xfId="0" applyNumberFormat="1" applyFont="1" applyBorder="1" applyAlignment="1" applyProtection="1">
      <alignment horizontal="center" vertical="center"/>
      <protection hidden="1"/>
    </xf>
    <xf numFmtId="166" fontId="1" fillId="3" borderId="1" xfId="0" applyNumberFormat="1" applyFont="1" applyFill="1" applyBorder="1" applyAlignment="1" applyProtection="1">
      <alignment horizontal="center" vertical="center"/>
      <protection hidden="1"/>
    </xf>
    <xf numFmtId="166" fontId="0" fillId="3" borderId="20" xfId="0" applyNumberForma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49" fontId="1" fillId="0" borderId="0" xfId="0" applyNumberFormat="1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textRotation="51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right" vertical="center" textRotation="90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protection hidden="1"/>
    </xf>
    <xf numFmtId="2" fontId="1" fillId="3" borderId="0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2" fontId="1" fillId="3" borderId="0" xfId="0" applyNumberFormat="1" applyFont="1" applyFill="1" applyBorder="1" applyAlignment="1" applyProtection="1">
      <alignment vertical="center"/>
      <protection hidden="1"/>
    </xf>
    <xf numFmtId="166" fontId="0" fillId="0" borderId="22" xfId="0" applyNumberForma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166" fontId="1" fillId="0" borderId="2" xfId="0" applyNumberFormat="1" applyFont="1" applyBorder="1" applyAlignment="1" applyProtection="1"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 textRotation="90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166" fontId="0" fillId="4" borderId="1" xfId="0" applyNumberFormat="1" applyFill="1" applyBorder="1" applyAlignment="1" applyProtection="1">
      <alignment horizontal="center" vertical="center"/>
      <protection hidden="1"/>
    </xf>
    <xf numFmtId="166" fontId="0" fillId="4" borderId="10" xfId="0" applyNumberFormat="1" applyFill="1" applyBorder="1" applyAlignment="1" applyProtection="1">
      <alignment horizontal="center" vertical="center"/>
      <protection hidden="1"/>
    </xf>
    <xf numFmtId="166" fontId="0" fillId="4" borderId="5" xfId="0" applyNumberFormat="1" applyFill="1" applyBorder="1" applyAlignment="1" applyProtection="1">
      <alignment horizontal="center" vertical="center"/>
      <protection hidden="1"/>
    </xf>
    <xf numFmtId="166" fontId="1" fillId="4" borderId="10" xfId="0" applyNumberFormat="1" applyFont="1" applyFill="1" applyBorder="1" applyAlignment="1" applyProtection="1">
      <alignment horizontal="center" vertical="center"/>
      <protection hidden="1"/>
    </xf>
    <xf numFmtId="2" fontId="0" fillId="4" borderId="10" xfId="0" applyNumberFormat="1" applyFill="1" applyBorder="1" applyAlignment="1" applyProtection="1">
      <alignment horizontal="center" vertical="center"/>
      <protection hidden="1"/>
    </xf>
    <xf numFmtId="2" fontId="0" fillId="4" borderId="1" xfId="0" applyNumberFormat="1" applyFill="1" applyBorder="1" applyAlignment="1" applyProtection="1">
      <alignment horizontal="center" vertical="center"/>
      <protection hidden="1"/>
    </xf>
    <xf numFmtId="2" fontId="0" fillId="4" borderId="23" xfId="0" applyNumberFormat="1" applyFill="1" applyBorder="1" applyAlignment="1" applyProtection="1">
      <alignment horizontal="center" vertical="center"/>
      <protection hidden="1"/>
    </xf>
    <xf numFmtId="166" fontId="1" fillId="4" borderId="1" xfId="0" applyNumberFormat="1" applyFont="1" applyFill="1" applyBorder="1" applyAlignment="1" applyProtection="1">
      <alignment horizontal="center" vertical="center"/>
      <protection hidden="1"/>
    </xf>
    <xf numFmtId="166" fontId="0" fillId="4" borderId="8" xfId="0" applyNumberFormat="1" applyFill="1" applyBorder="1" applyAlignment="1" applyProtection="1">
      <alignment horizontal="center" vertical="center"/>
      <protection hidden="1"/>
    </xf>
    <xf numFmtId="166" fontId="1" fillId="4" borderId="8" xfId="0" applyNumberFormat="1" applyFont="1" applyFill="1" applyBorder="1" applyAlignment="1" applyProtection="1">
      <alignment horizontal="center" vertical="center"/>
      <protection hidden="1"/>
    </xf>
    <xf numFmtId="2" fontId="0" fillId="4" borderId="8" xfId="0" applyNumberFormat="1" applyFill="1" applyBorder="1" applyAlignment="1" applyProtection="1">
      <alignment horizontal="center" vertical="center"/>
      <protection hidden="1"/>
    </xf>
    <xf numFmtId="166" fontId="1" fillId="4" borderId="5" xfId="0" applyNumberFormat="1" applyFont="1" applyFill="1" applyBorder="1" applyAlignment="1" applyProtection="1">
      <alignment horizontal="center" vertic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hidden="1"/>
    </xf>
    <xf numFmtId="2" fontId="0" fillId="4" borderId="9" xfId="0" applyNumberFormat="1" applyFill="1" applyBorder="1" applyAlignment="1" applyProtection="1">
      <alignment horizontal="center" vertical="center"/>
      <protection hidden="1"/>
    </xf>
    <xf numFmtId="166" fontId="1" fillId="2" borderId="25" xfId="0" applyNumberFormat="1" applyFont="1" applyFill="1" applyBorder="1" applyAlignment="1" applyProtection="1">
      <alignment horizontal="center" vertical="center"/>
      <protection locked="0"/>
    </xf>
    <xf numFmtId="166" fontId="1" fillId="0" borderId="0" xfId="0" applyNumberFormat="1" applyFont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2" fontId="0" fillId="4" borderId="12" xfId="0" applyNumberForma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vertical="center"/>
      <protection hidden="1"/>
    </xf>
    <xf numFmtId="166" fontId="0" fillId="0" borderId="26" xfId="0" applyNumberFormat="1" applyBorder="1" applyAlignment="1" applyProtection="1">
      <alignment vertical="center"/>
      <protection hidden="1"/>
    </xf>
    <xf numFmtId="2" fontId="0" fillId="0" borderId="26" xfId="0" applyNumberFormat="1" applyBorder="1" applyAlignment="1" applyProtection="1">
      <alignment vertical="center"/>
      <protection hidden="1"/>
    </xf>
    <xf numFmtId="2" fontId="0" fillId="0" borderId="26" xfId="0" applyNumberFormat="1" applyBorder="1" applyAlignment="1" applyProtection="1">
      <alignment horizontal="center" vertical="center"/>
      <protection hidden="1"/>
    </xf>
    <xf numFmtId="166" fontId="0" fillId="0" borderId="26" xfId="0" applyNumberFormat="1" applyBorder="1" applyAlignment="1" applyProtection="1">
      <alignment horizontal="center" vertical="center"/>
      <protection hidden="1"/>
    </xf>
    <xf numFmtId="166" fontId="1" fillId="5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hidden="1"/>
    </xf>
    <xf numFmtId="0" fontId="0" fillId="0" borderId="3" xfId="0" applyFill="1" applyBorder="1" applyAlignment="1" applyProtection="1">
      <alignment vertical="center"/>
      <protection hidden="1"/>
    </xf>
    <xf numFmtId="2" fontId="1" fillId="3" borderId="3" xfId="0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Border="1" applyAlignment="1" applyProtection="1">
      <alignment vertical="center"/>
      <protection hidden="1"/>
    </xf>
    <xf numFmtId="2" fontId="1" fillId="0" borderId="3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2" fontId="4" fillId="3" borderId="0" xfId="0" applyNumberFormat="1" applyFont="1" applyFill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protection hidden="1"/>
    </xf>
    <xf numFmtId="2" fontId="1" fillId="0" borderId="0" xfId="0" applyNumberFormat="1" applyFont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right" vertical="center"/>
      <protection hidden="1"/>
    </xf>
    <xf numFmtId="166" fontId="1" fillId="0" borderId="0" xfId="0" applyNumberFormat="1" applyFont="1" applyBorder="1" applyAlignment="1" applyProtection="1">
      <alignment horizontal="right" vertical="center"/>
      <protection hidden="1"/>
    </xf>
    <xf numFmtId="2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6" fontId="1" fillId="0" borderId="3" xfId="0" applyNumberFormat="1" applyFont="1" applyFill="1" applyBorder="1" applyAlignment="1" applyProtection="1">
      <alignment horizontal="right" vertical="center"/>
      <protection hidden="1"/>
    </xf>
    <xf numFmtId="166" fontId="1" fillId="0" borderId="3" xfId="0" applyNumberFormat="1" applyFont="1" applyBorder="1" applyAlignment="1" applyProtection="1">
      <alignment horizontal="right" vertical="center"/>
      <protection hidden="1"/>
    </xf>
    <xf numFmtId="166" fontId="1" fillId="3" borderId="0" xfId="0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hidden="1"/>
    </xf>
    <xf numFmtId="49" fontId="1" fillId="3" borderId="0" xfId="0" applyNumberFormat="1" applyFont="1" applyFill="1" applyBorder="1" applyAlignment="1" applyProtection="1">
      <alignment horizontal="left"/>
      <protection hidden="1"/>
    </xf>
    <xf numFmtId="166" fontId="1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 textRotation="90"/>
      <protection hidden="1"/>
    </xf>
    <xf numFmtId="0" fontId="13" fillId="3" borderId="27" xfId="0" applyFont="1" applyFill="1" applyBorder="1" applyAlignment="1" applyProtection="1">
      <alignment vertical="center"/>
      <protection hidden="1"/>
    </xf>
    <xf numFmtId="0" fontId="13" fillId="3" borderId="28" xfId="0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vertical="center"/>
      <protection hidden="1"/>
    </xf>
    <xf numFmtId="166" fontId="1" fillId="3" borderId="3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3" borderId="26" xfId="0" applyFill="1" applyBorder="1" applyProtection="1">
      <protection hidden="1"/>
    </xf>
    <xf numFmtId="166" fontId="0" fillId="0" borderId="0" xfId="0" applyNumberFormat="1" applyBorder="1" applyAlignment="1" applyProtection="1">
      <alignment horizont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2" fontId="1" fillId="3" borderId="0" xfId="0" applyNumberFormat="1" applyFont="1" applyFill="1" applyBorder="1" applyAlignment="1" applyProtection="1">
      <alignment horizontal="center" vertical="center"/>
      <protection hidden="1"/>
    </xf>
    <xf numFmtId="2" fontId="1" fillId="3" borderId="3" xfId="0" applyNumberFormat="1" applyFont="1" applyFill="1" applyBorder="1" applyAlignment="1" applyProtection="1">
      <alignment horizontal="center" vertical="center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  <protection hidden="1"/>
    </xf>
    <xf numFmtId="166" fontId="1" fillId="0" borderId="4" xfId="0" applyNumberFormat="1" applyFont="1" applyBorder="1" applyAlignment="1" applyProtection="1">
      <alignment horizontal="center" vertical="center"/>
      <protection hidden="1"/>
    </xf>
    <xf numFmtId="166" fontId="1" fillId="4" borderId="11" xfId="0" applyNumberFormat="1" applyFont="1" applyFill="1" applyBorder="1" applyAlignment="1" applyProtection="1">
      <alignment horizontal="center" vertical="center"/>
      <protection hidden="1"/>
    </xf>
    <xf numFmtId="166" fontId="1" fillId="4" borderId="4" xfId="0" applyNumberFormat="1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167" fontId="0" fillId="0" borderId="0" xfId="0" applyNumberFormat="1" applyBorder="1" applyProtection="1">
      <protection hidden="1"/>
    </xf>
    <xf numFmtId="2" fontId="0" fillId="3" borderId="20" xfId="0" applyNumberFormat="1" applyFill="1" applyBorder="1" applyAlignment="1" applyProtection="1">
      <alignment horizontal="center" vertical="center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167" fontId="0" fillId="0" borderId="0" xfId="0" applyNumberFormat="1" applyProtection="1">
      <protection hidden="1"/>
    </xf>
    <xf numFmtId="2" fontId="0" fillId="4" borderId="6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1" fillId="3" borderId="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2" fontId="4" fillId="0" borderId="0" xfId="0" applyNumberFormat="1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right" textRotation="51"/>
      <protection hidden="1"/>
    </xf>
    <xf numFmtId="166" fontId="17" fillId="0" borderId="10" xfId="0" applyNumberFormat="1" applyFont="1" applyBorder="1" applyAlignment="1" applyProtection="1">
      <alignment horizontal="center" vertical="center"/>
      <protection hidden="1"/>
    </xf>
    <xf numFmtId="166" fontId="17" fillId="0" borderId="23" xfId="0" applyNumberFormat="1" applyFont="1" applyBorder="1" applyAlignment="1" applyProtection="1">
      <alignment horizontal="center" vertical="center"/>
      <protection hidden="1"/>
    </xf>
    <xf numFmtId="166" fontId="17" fillId="3" borderId="5" xfId="0" applyNumberFormat="1" applyFont="1" applyFill="1" applyBorder="1" applyAlignment="1" applyProtection="1">
      <alignment horizontal="center" vertical="center"/>
      <protection hidden="1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hidden="1"/>
    </xf>
    <xf numFmtId="2" fontId="0" fillId="4" borderId="30" xfId="0" applyNumberForma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right"/>
      <protection hidden="1"/>
    </xf>
    <xf numFmtId="167" fontId="0" fillId="0" borderId="0" xfId="0" applyNumberFormat="1" applyBorder="1" applyAlignment="1" applyProtection="1">
      <alignment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166" fontId="0" fillId="0" borderId="0" xfId="0" applyNumberFormat="1" applyBorder="1" applyProtection="1">
      <protection hidden="1"/>
    </xf>
    <xf numFmtId="166" fontId="4" fillId="3" borderId="5" xfId="0" applyNumberFormat="1" applyFont="1" applyFill="1" applyBorder="1" applyAlignment="1" applyProtection="1">
      <alignment horizontal="center" vertical="center"/>
      <protection hidden="1"/>
    </xf>
    <xf numFmtId="1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6" fontId="0" fillId="0" borderId="31" xfId="0" applyNumberFormat="1" applyBorder="1" applyAlignment="1" applyProtection="1">
      <alignment horizontal="center" vertical="center"/>
      <protection hidden="1"/>
    </xf>
    <xf numFmtId="2" fontId="0" fillId="3" borderId="31" xfId="0" applyNumberFormat="1" applyFill="1" applyBorder="1" applyAlignment="1" applyProtection="1">
      <alignment horizontal="center" vertical="center"/>
      <protection hidden="1"/>
    </xf>
    <xf numFmtId="2" fontId="0" fillId="3" borderId="12" xfId="0" applyNumberFormat="1" applyFill="1" applyBorder="1" applyAlignment="1" applyProtection="1">
      <alignment horizontal="center" vertical="center"/>
      <protection hidden="1"/>
    </xf>
    <xf numFmtId="2" fontId="0" fillId="3" borderId="23" xfId="0" applyNumberFormat="1" applyFill="1" applyBorder="1" applyAlignment="1" applyProtection="1">
      <alignment horizontal="center" vertical="center"/>
      <protection hidden="1"/>
    </xf>
    <xf numFmtId="2" fontId="0" fillId="3" borderId="9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166" fontId="17" fillId="0" borderId="6" xfId="0" applyNumberFormat="1" applyFont="1" applyBorder="1" applyAlignment="1" applyProtection="1">
      <alignment horizontal="center" vertical="center"/>
      <protection hidden="1"/>
    </xf>
    <xf numFmtId="166" fontId="1" fillId="3" borderId="0" xfId="0" applyNumberFormat="1" applyFont="1" applyFill="1" applyBorder="1" applyAlignment="1" applyProtection="1">
      <alignment horizontal="left"/>
      <protection hidden="1"/>
    </xf>
    <xf numFmtId="2" fontId="0" fillId="4" borderId="21" xfId="0" applyNumberFormat="1" applyFill="1" applyBorder="1" applyAlignment="1" applyProtection="1">
      <alignment horizontal="center" vertical="center"/>
      <protection hidden="1"/>
    </xf>
    <xf numFmtId="2" fontId="1" fillId="0" borderId="3" xfId="0" applyNumberFormat="1" applyFont="1" applyBorder="1" applyAlignment="1" applyProtection="1">
      <alignment vertical="center" textRotation="90"/>
      <protection hidden="1"/>
    </xf>
    <xf numFmtId="166" fontId="0" fillId="3" borderId="1" xfId="0" applyNumberFormat="1" applyFill="1" applyBorder="1" applyAlignment="1" applyProtection="1">
      <alignment horizontal="center" vertical="center"/>
      <protection hidden="1"/>
    </xf>
    <xf numFmtId="166" fontId="0" fillId="4" borderId="31" xfId="0" applyNumberFormat="1" applyFill="1" applyBorder="1" applyAlignment="1" applyProtection="1">
      <alignment horizontal="center" vertical="center"/>
      <protection hidden="1"/>
    </xf>
    <xf numFmtId="166" fontId="1" fillId="4" borderId="31" xfId="0" applyNumberFormat="1" applyFont="1" applyFill="1" applyBorder="1" applyAlignment="1" applyProtection="1">
      <alignment horizontal="center" vertical="center"/>
      <protection hidden="1"/>
    </xf>
    <xf numFmtId="2" fontId="0" fillId="4" borderId="31" xfId="0" applyNumberFormat="1" applyFill="1" applyBorder="1" applyAlignment="1" applyProtection="1">
      <alignment horizontal="center" vertical="center"/>
      <protection hidden="1"/>
    </xf>
    <xf numFmtId="2" fontId="0" fillId="4" borderId="32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166" fontId="0" fillId="3" borderId="33" xfId="0" applyNumberFormat="1" applyFill="1" applyBorder="1" applyAlignment="1" applyProtection="1">
      <alignment horizontal="center" vertical="center"/>
      <protection hidden="1"/>
    </xf>
    <xf numFmtId="166" fontId="0" fillId="3" borderId="10" xfId="0" applyNumberFormat="1" applyFill="1" applyBorder="1" applyAlignment="1" applyProtection="1">
      <alignment horizontal="center" vertical="center"/>
      <protection hidden="1"/>
    </xf>
    <xf numFmtId="166" fontId="17" fillId="0" borderId="5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166" fontId="17" fillId="4" borderId="8" xfId="0" applyNumberFormat="1" applyFont="1" applyFill="1" applyBorder="1" applyAlignment="1" applyProtection="1">
      <alignment horizontal="center" vertical="center"/>
      <protection hidden="1"/>
    </xf>
    <xf numFmtId="166" fontId="17" fillId="4" borderId="9" xfId="0" applyNumberFormat="1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4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4" borderId="7" xfId="0" applyNumberFormat="1" applyFont="1" applyFill="1" applyBorder="1" applyAlignment="1" applyProtection="1">
      <alignment horizontal="center" vertical="center"/>
      <protection hidden="1"/>
    </xf>
    <xf numFmtId="166" fontId="1" fillId="0" borderId="19" xfId="0" applyNumberFormat="1" applyFont="1" applyBorder="1" applyAlignment="1" applyProtection="1">
      <alignment horizontal="center" vertical="center"/>
      <protection hidden="1"/>
    </xf>
    <xf numFmtId="166" fontId="1" fillId="0" borderId="11" xfId="0" applyNumberFormat="1" applyFont="1" applyBorder="1" applyAlignment="1" applyProtection="1">
      <alignment horizontal="center" vertical="center"/>
      <protection hidden="1"/>
    </xf>
    <xf numFmtId="166" fontId="1" fillId="0" borderId="7" xfId="0" applyNumberFormat="1" applyFont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66" fontId="1" fillId="4" borderId="19" xfId="0" applyNumberFormat="1" applyFont="1" applyFill="1" applyBorder="1" applyAlignment="1" applyProtection="1">
      <alignment horizontal="center" vertical="center"/>
      <protection hidden="1"/>
    </xf>
    <xf numFmtId="166" fontId="1" fillId="4" borderId="35" xfId="0" applyNumberFormat="1" applyFont="1" applyFill="1" applyBorder="1" applyAlignment="1" applyProtection="1">
      <alignment horizontal="center" vertical="center"/>
      <protection hidden="1"/>
    </xf>
    <xf numFmtId="166" fontId="1" fillId="3" borderId="4" xfId="0" applyNumberFormat="1" applyFont="1" applyFill="1" applyBorder="1" applyAlignment="1" applyProtection="1">
      <alignment horizontal="center" vertical="center"/>
      <protection hidden="1"/>
    </xf>
    <xf numFmtId="166" fontId="1" fillId="3" borderId="11" xfId="0" applyNumberFormat="1" applyFont="1" applyFill="1" applyBorder="1" applyAlignment="1" applyProtection="1">
      <alignment horizontal="center" vertical="center"/>
      <protection hidden="1"/>
    </xf>
    <xf numFmtId="166" fontId="1" fillId="3" borderId="7" xfId="0" applyNumberFormat="1" applyFont="1" applyFill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left" vertical="center"/>
      <protection hidden="1"/>
    </xf>
    <xf numFmtId="168" fontId="0" fillId="0" borderId="0" xfId="0" applyNumberFormat="1" applyBorder="1" applyProtection="1">
      <protection hidden="1"/>
    </xf>
    <xf numFmtId="168" fontId="0" fillId="0" borderId="0" xfId="0" applyNumberFormat="1" applyBorder="1" applyAlignment="1" applyProtection="1">
      <alignment horizontal="center" vertical="center"/>
      <protection hidden="1"/>
    </xf>
    <xf numFmtId="167" fontId="0" fillId="3" borderId="0" xfId="0" applyNumberForma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6" fontId="0" fillId="4" borderId="20" xfId="0" applyNumberFormat="1" applyFill="1" applyBorder="1" applyAlignment="1" applyProtection="1">
      <alignment horizontal="center" vertical="center"/>
      <protection hidden="1"/>
    </xf>
    <xf numFmtId="166" fontId="1" fillId="4" borderId="20" xfId="0" applyNumberFormat="1" applyFont="1" applyFill="1" applyBorder="1" applyAlignment="1" applyProtection="1">
      <alignment horizontal="center" vertical="center"/>
      <protection hidden="1"/>
    </xf>
    <xf numFmtId="2" fontId="0" fillId="4" borderId="20" xfId="0" applyNumberFormat="1" applyFill="1" applyBorder="1" applyAlignment="1" applyProtection="1">
      <alignment horizontal="center" vertical="center"/>
      <protection hidden="1"/>
    </xf>
    <xf numFmtId="2" fontId="0" fillId="4" borderId="24" xfId="0" applyNumberFormat="1" applyFill="1" applyBorder="1" applyAlignment="1" applyProtection="1">
      <alignment horizontal="center" vertical="center"/>
      <protection hidden="1"/>
    </xf>
    <xf numFmtId="166" fontId="0" fillId="4" borderId="30" xfId="0" applyNumberFormat="1" applyFill="1" applyBorder="1" applyAlignment="1" applyProtection="1">
      <alignment horizontal="center" vertical="center"/>
      <protection hidden="1"/>
    </xf>
    <xf numFmtId="166" fontId="4" fillId="3" borderId="31" xfId="0" applyNumberFormat="1" applyFont="1" applyFill="1" applyBorder="1" applyAlignment="1" applyProtection="1">
      <alignment horizontal="center" vertical="center"/>
      <protection hidden="1"/>
    </xf>
    <xf numFmtId="166" fontId="1" fillId="4" borderId="36" xfId="0" applyNumberFormat="1" applyFont="1" applyFill="1" applyBorder="1" applyAlignment="1" applyProtection="1">
      <alignment horizontal="center" vertical="center"/>
      <protection hidden="1"/>
    </xf>
    <xf numFmtId="166" fontId="1" fillId="4" borderId="37" xfId="0" applyNumberFormat="1" applyFont="1" applyFill="1" applyBorder="1" applyAlignment="1" applyProtection="1">
      <alignment horizontal="center" vertical="center"/>
      <protection hidden="1"/>
    </xf>
    <xf numFmtId="166" fontId="4" fillId="4" borderId="36" xfId="0" applyNumberFormat="1" applyFont="1" applyFill="1" applyBorder="1" applyAlignment="1" applyProtection="1">
      <alignment horizontal="center" vertical="center"/>
      <protection hidden="1"/>
    </xf>
    <xf numFmtId="166" fontId="21" fillId="0" borderId="0" xfId="0" applyNumberFormat="1" applyFont="1" applyBorder="1" applyAlignment="1" applyProtection="1">
      <alignment horizontal="left" vertical="center"/>
      <protection hidden="1"/>
    </xf>
    <xf numFmtId="168" fontId="0" fillId="0" borderId="0" xfId="0" applyNumberFormat="1" applyBorder="1" applyAlignment="1" applyProtection="1">
      <alignment vertical="center"/>
      <protection hidden="1"/>
    </xf>
    <xf numFmtId="166" fontId="21" fillId="0" borderId="0" xfId="0" applyNumberFormat="1" applyFont="1" applyBorder="1" applyAlignment="1" applyProtection="1">
      <alignment horizontal="left" vertical="center" wrapText="1"/>
      <protection hidden="1"/>
    </xf>
    <xf numFmtId="168" fontId="1" fillId="3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3" borderId="0" xfId="0" applyNumberFormat="1" applyFont="1" applyFill="1" applyBorder="1" applyAlignment="1" applyProtection="1">
      <alignment horizontal="left" vertical="center"/>
      <protection hidden="1"/>
    </xf>
    <xf numFmtId="166" fontId="21" fillId="0" borderId="0" xfId="0" applyNumberFormat="1" applyFont="1" applyBorder="1" applyAlignment="1" applyProtection="1">
      <alignment horizontal="center" vertical="center"/>
      <protection hidden="1"/>
    </xf>
    <xf numFmtId="166" fontId="1" fillId="0" borderId="2" xfId="0" applyNumberFormat="1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2" fontId="1" fillId="0" borderId="0" xfId="0" applyNumberFormat="1" applyFont="1" applyBorder="1" applyAlignment="1" applyProtection="1">
      <alignment horizontal="right" vertical="center" textRotation="90"/>
      <protection hidden="1"/>
    </xf>
    <xf numFmtId="166" fontId="1" fillId="0" borderId="3" xfId="0" applyNumberFormat="1" applyFont="1" applyBorder="1" applyAlignment="1" applyProtection="1">
      <alignment horizontal="left" vertical="center" textRotation="90"/>
      <protection hidden="1"/>
    </xf>
    <xf numFmtId="166" fontId="1" fillId="3" borderId="2" xfId="0" applyNumberFormat="1" applyFont="1" applyFill="1" applyBorder="1" applyAlignment="1" applyProtection="1">
      <alignment horizontal="left"/>
      <protection hidden="1"/>
    </xf>
    <xf numFmtId="166" fontId="1" fillId="3" borderId="0" xfId="0" applyNumberFormat="1" applyFont="1" applyFill="1" applyBorder="1" applyAlignment="1" applyProtection="1">
      <alignment horizontal="left"/>
      <protection hidden="1"/>
    </xf>
    <xf numFmtId="0" fontId="13" fillId="3" borderId="38" xfId="0" applyFont="1" applyFill="1" applyBorder="1" applyAlignment="1" applyProtection="1">
      <alignment horizontal="center" vertical="center"/>
      <protection hidden="1"/>
    </xf>
    <xf numFmtId="0" fontId="13" fillId="3" borderId="39" xfId="0" applyFont="1" applyFill="1" applyBorder="1" applyAlignment="1" applyProtection="1">
      <alignment horizontal="center" vertical="center"/>
      <protection hidden="1"/>
    </xf>
    <xf numFmtId="0" fontId="13" fillId="4" borderId="40" xfId="0" applyFont="1" applyFill="1" applyBorder="1" applyAlignment="1" applyProtection="1">
      <alignment horizontal="center" vertical="center"/>
      <protection hidden="1"/>
    </xf>
    <xf numFmtId="0" fontId="13" fillId="4" borderId="41" xfId="0" applyFont="1" applyFill="1" applyBorder="1" applyAlignment="1" applyProtection="1">
      <alignment horizontal="center" vertical="center"/>
      <protection hidden="1"/>
    </xf>
    <xf numFmtId="0" fontId="13" fillId="4" borderId="42" xfId="0" applyFont="1" applyFill="1" applyBorder="1" applyAlignment="1" applyProtection="1">
      <alignment horizontal="center" vertical="center"/>
      <protection hidden="1"/>
    </xf>
    <xf numFmtId="0" fontId="13" fillId="4" borderId="43" xfId="0" applyFont="1" applyFill="1" applyBorder="1" applyAlignment="1" applyProtection="1">
      <alignment horizontal="center" vertical="center"/>
      <protection hidden="1"/>
    </xf>
    <xf numFmtId="0" fontId="13" fillId="4" borderId="44" xfId="0" applyFont="1" applyFill="1" applyBorder="1" applyAlignment="1" applyProtection="1">
      <alignment horizontal="center" vertical="center"/>
      <protection hidden="1"/>
    </xf>
    <xf numFmtId="0" fontId="13" fillId="4" borderId="45" xfId="0" applyFont="1" applyFill="1" applyBorder="1" applyAlignment="1" applyProtection="1">
      <alignment horizontal="center" vertical="center"/>
      <protection hidden="1"/>
    </xf>
    <xf numFmtId="166" fontId="1" fillId="0" borderId="39" xfId="0" applyNumberFormat="1" applyFont="1" applyBorder="1" applyAlignment="1" applyProtection="1">
      <alignment horizontal="left"/>
      <protection hidden="1"/>
    </xf>
    <xf numFmtId="166" fontId="1" fillId="0" borderId="26" xfId="0" applyNumberFormat="1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3" fillId="3" borderId="27" xfId="0" applyFont="1" applyFill="1" applyBorder="1" applyAlignment="1" applyProtection="1">
      <alignment horizontal="center" vertical="center"/>
      <protection hidden="1"/>
    </xf>
    <xf numFmtId="0" fontId="13" fillId="3" borderId="28" xfId="0" applyFont="1" applyFill="1" applyBorder="1" applyAlignment="1" applyProtection="1">
      <alignment horizontal="center" vertical="center"/>
      <protection hidden="1"/>
    </xf>
    <xf numFmtId="0" fontId="13" fillId="3" borderId="26" xfId="0" applyFont="1" applyFill="1" applyBorder="1" applyAlignment="1" applyProtection="1">
      <alignment horizontal="center" vertical="center"/>
      <protection hidden="1"/>
    </xf>
    <xf numFmtId="0" fontId="13" fillId="3" borderId="29" xfId="0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Border="1" applyAlignment="1" applyProtection="1">
      <alignment horizontal="right" textRotation="90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2" fontId="1" fillId="0" borderId="3" xfId="0" applyNumberFormat="1" applyFont="1" applyBorder="1" applyAlignment="1" applyProtection="1">
      <alignment horizontal="left" vertical="center" textRotation="90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2" fontId="9" fillId="0" borderId="0" xfId="0" applyNumberFormat="1" applyFont="1" applyBorder="1" applyAlignment="1" applyProtection="1">
      <alignment horizontal="right" vertical="center" textRotation="90"/>
      <protection hidden="1"/>
    </xf>
    <xf numFmtId="0" fontId="1" fillId="0" borderId="0" xfId="0" applyFont="1" applyBorder="1" applyAlignment="1" applyProtection="1">
      <alignment horizontal="right" vertical="center" textRotation="90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right" vertical="center" textRotation="90"/>
      <protection hidden="1"/>
    </xf>
    <xf numFmtId="0" fontId="0" fillId="0" borderId="0" xfId="0" applyBorder="1" applyAlignment="1" applyProtection="1">
      <alignment vertical="center"/>
      <protection hidden="1"/>
    </xf>
    <xf numFmtId="2" fontId="1" fillId="0" borderId="3" xfId="0" applyNumberFormat="1" applyFont="1" applyBorder="1" applyAlignment="1" applyProtection="1">
      <alignment horizontal="center" vertical="center" textRotation="90"/>
      <protection hidden="1"/>
    </xf>
    <xf numFmtId="168" fontId="0" fillId="0" borderId="0" xfId="0" applyNumberFormat="1" applyBorder="1" applyAlignment="1" applyProtection="1">
      <alignment horizontal="center"/>
      <protection hidden="1"/>
    </xf>
    <xf numFmtId="168" fontId="4" fillId="0" borderId="0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Border="1" applyAlignment="1" applyProtection="1">
      <alignment horizontal="center" vertical="center"/>
      <protection hidden="1"/>
    </xf>
    <xf numFmtId="0" fontId="1" fillId="0" borderId="46" xfId="0" applyFont="1" applyBorder="1" applyAlignment="1" applyProtection="1">
      <alignment horizontal="left" vertical="center"/>
      <protection hidden="1"/>
    </xf>
    <xf numFmtId="166" fontId="1" fillId="3" borderId="2" xfId="0" applyNumberFormat="1" applyFont="1" applyFill="1" applyBorder="1" applyAlignment="1" applyProtection="1">
      <alignment horizontal="left"/>
      <protection locked="0"/>
    </xf>
    <xf numFmtId="166" fontId="1" fillId="3" borderId="0" xfId="0" applyNumberFormat="1" applyFont="1" applyFill="1" applyBorder="1" applyAlignment="1" applyProtection="1">
      <alignment horizontal="left"/>
      <protection locked="0"/>
    </xf>
    <xf numFmtId="166" fontId="1" fillId="0" borderId="3" xfId="0" applyNumberFormat="1" applyFont="1" applyBorder="1" applyAlignment="1" applyProtection="1">
      <alignment horizontal="center" vertical="center" textRotation="90"/>
      <protection hidden="1"/>
    </xf>
    <xf numFmtId="0" fontId="7" fillId="0" borderId="0" xfId="0" applyFont="1" applyBorder="1" applyAlignment="1" applyProtection="1">
      <alignment horizontal="left"/>
      <protection hidden="1"/>
    </xf>
    <xf numFmtId="166" fontId="0" fillId="0" borderId="0" xfId="0" applyNumberFormat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1025" name="Freeform 1">
          <a:extLst>
            <a:ext uri="{FF2B5EF4-FFF2-40B4-BE49-F238E27FC236}">
              <a16:creationId xmlns:a16="http://schemas.microsoft.com/office/drawing/2014/main" id="{F090AF50-4296-1FCA-35A2-A806D26D41EA}"/>
            </a:ext>
          </a:extLst>
        </xdr:cNvPr>
        <xdr:cNvSpPr>
          <a:spLocks/>
        </xdr:cNvSpPr>
      </xdr:nvSpPr>
      <xdr:spPr bwMode="auto">
        <a:xfrm>
          <a:off x="333375" y="232410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257175</xdr:rowOff>
    </xdr:from>
    <xdr:to>
      <xdr:col>12</xdr:col>
      <xdr:colOff>0</xdr:colOff>
      <xdr:row>45</xdr:row>
      <xdr:rowOff>238125</xdr:rowOff>
    </xdr:to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2941F6C0-EA57-27E0-B18E-18414B66453F}"/>
            </a:ext>
          </a:extLst>
        </xdr:cNvPr>
        <xdr:cNvSpPr>
          <a:spLocks noChangeShapeType="1"/>
        </xdr:cNvSpPr>
      </xdr:nvSpPr>
      <xdr:spPr bwMode="auto">
        <a:xfrm>
          <a:off x="8772525" y="8067675"/>
          <a:ext cx="0" cy="451485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33</xdr:row>
      <xdr:rowOff>0</xdr:rowOff>
    </xdr:from>
    <xdr:to>
      <xdr:col>12</xdr:col>
      <xdr:colOff>9525</xdr:colOff>
      <xdr:row>33</xdr:row>
      <xdr:rowOff>0</xdr:rowOff>
    </xdr:to>
    <xdr:sp macro="" textlink="">
      <xdr:nvSpPr>
        <xdr:cNvPr id="1027" name="Line 7">
          <a:extLst>
            <a:ext uri="{FF2B5EF4-FFF2-40B4-BE49-F238E27FC236}">
              <a16:creationId xmlns:a16="http://schemas.microsoft.com/office/drawing/2014/main" id="{BF7FE78B-9BD0-EC5F-A3BA-18B820BC6369}"/>
            </a:ext>
          </a:extLst>
        </xdr:cNvPr>
        <xdr:cNvSpPr>
          <a:spLocks noChangeShapeType="1"/>
        </xdr:cNvSpPr>
      </xdr:nvSpPr>
      <xdr:spPr bwMode="auto">
        <a:xfrm>
          <a:off x="8524875" y="91440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0</xdr:rowOff>
    </xdr:from>
    <xdr:to>
      <xdr:col>12</xdr:col>
      <xdr:colOff>0</xdr:colOff>
      <xdr:row>43</xdr:row>
      <xdr:rowOff>0</xdr:rowOff>
    </xdr:to>
    <xdr:sp macro="" textlink="">
      <xdr:nvSpPr>
        <xdr:cNvPr id="1028" name="Line 8">
          <a:extLst>
            <a:ext uri="{FF2B5EF4-FFF2-40B4-BE49-F238E27FC236}">
              <a16:creationId xmlns:a16="http://schemas.microsoft.com/office/drawing/2014/main" id="{0EC8EE9D-D0C8-336F-6CF2-063D92D443DC}"/>
            </a:ext>
          </a:extLst>
        </xdr:cNvPr>
        <xdr:cNvSpPr>
          <a:spLocks noChangeShapeType="1"/>
        </xdr:cNvSpPr>
      </xdr:nvSpPr>
      <xdr:spPr bwMode="auto">
        <a:xfrm>
          <a:off x="8524875" y="11811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46</xdr:row>
      <xdr:rowOff>0</xdr:rowOff>
    </xdr:from>
    <xdr:to>
      <xdr:col>12</xdr:col>
      <xdr:colOff>9525</xdr:colOff>
      <xdr:row>46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2ABD2DBC-0F23-B9E7-2C44-28C51789ABE0}"/>
            </a:ext>
          </a:extLst>
        </xdr:cNvPr>
        <xdr:cNvSpPr>
          <a:spLocks noChangeShapeType="1"/>
        </xdr:cNvSpPr>
      </xdr:nvSpPr>
      <xdr:spPr bwMode="auto">
        <a:xfrm>
          <a:off x="8553450" y="126111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1030" name="Line 10">
          <a:extLst>
            <a:ext uri="{FF2B5EF4-FFF2-40B4-BE49-F238E27FC236}">
              <a16:creationId xmlns:a16="http://schemas.microsoft.com/office/drawing/2014/main" id="{12E60912-5C05-6F7D-DFF7-10259A3E8D3A}"/>
            </a:ext>
          </a:extLst>
        </xdr:cNvPr>
        <xdr:cNvSpPr>
          <a:spLocks noChangeShapeType="1"/>
        </xdr:cNvSpPr>
      </xdr:nvSpPr>
      <xdr:spPr bwMode="auto">
        <a:xfrm>
          <a:off x="8524875" y="8343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54</xdr:row>
      <xdr:rowOff>123825</xdr:rowOff>
    </xdr:from>
    <xdr:to>
      <xdr:col>1</xdr:col>
      <xdr:colOff>0</xdr:colOff>
      <xdr:row>54</xdr:row>
      <xdr:rowOff>123825</xdr:rowOff>
    </xdr:to>
    <xdr:sp macro="" textlink="">
      <xdr:nvSpPr>
        <xdr:cNvPr id="1031" name="Line 11">
          <a:extLst>
            <a:ext uri="{FF2B5EF4-FFF2-40B4-BE49-F238E27FC236}">
              <a16:creationId xmlns:a16="http://schemas.microsoft.com/office/drawing/2014/main" id="{ED84B964-F39B-AF6A-D8AC-BEA1198CC87A}"/>
            </a:ext>
          </a:extLst>
        </xdr:cNvPr>
        <xdr:cNvSpPr>
          <a:spLocks noChangeShapeType="1"/>
        </xdr:cNvSpPr>
      </xdr:nvSpPr>
      <xdr:spPr bwMode="auto">
        <a:xfrm>
          <a:off x="47625" y="14763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57</xdr:row>
      <xdr:rowOff>123825</xdr:rowOff>
    </xdr:from>
    <xdr:to>
      <xdr:col>1</xdr:col>
      <xdr:colOff>0</xdr:colOff>
      <xdr:row>57</xdr:row>
      <xdr:rowOff>123825</xdr:rowOff>
    </xdr:to>
    <xdr:sp macro="" textlink="">
      <xdr:nvSpPr>
        <xdr:cNvPr id="1032" name="Line 12">
          <a:extLst>
            <a:ext uri="{FF2B5EF4-FFF2-40B4-BE49-F238E27FC236}">
              <a16:creationId xmlns:a16="http://schemas.microsoft.com/office/drawing/2014/main" id="{F8A149C9-57FA-FE79-F076-36FF8F01F7E4}"/>
            </a:ext>
          </a:extLst>
        </xdr:cNvPr>
        <xdr:cNvSpPr>
          <a:spLocks noChangeShapeType="1"/>
        </xdr:cNvSpPr>
      </xdr:nvSpPr>
      <xdr:spPr bwMode="auto">
        <a:xfrm>
          <a:off x="66675" y="154876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30</xdr:row>
      <xdr:rowOff>0</xdr:rowOff>
    </xdr:from>
    <xdr:to>
      <xdr:col>13</xdr:col>
      <xdr:colOff>0</xdr:colOff>
      <xdr:row>33</xdr:row>
      <xdr:rowOff>0</xdr:rowOff>
    </xdr:to>
    <xdr:sp macro="" textlink="">
      <xdr:nvSpPr>
        <xdr:cNvPr id="1033" name="Line 45">
          <a:extLst>
            <a:ext uri="{FF2B5EF4-FFF2-40B4-BE49-F238E27FC236}">
              <a16:creationId xmlns:a16="http://schemas.microsoft.com/office/drawing/2014/main" id="{45F4561B-232C-B0CA-622E-97D14BB078BA}"/>
            </a:ext>
          </a:extLst>
        </xdr:cNvPr>
        <xdr:cNvSpPr>
          <a:spLocks noChangeShapeType="1"/>
        </xdr:cNvSpPr>
      </xdr:nvSpPr>
      <xdr:spPr bwMode="auto">
        <a:xfrm>
          <a:off x="9029700" y="83439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43</xdr:row>
      <xdr:rowOff>0</xdr:rowOff>
    </xdr:from>
    <xdr:to>
      <xdr:col>13</xdr:col>
      <xdr:colOff>0</xdr:colOff>
      <xdr:row>45</xdr:row>
      <xdr:rowOff>304800</xdr:rowOff>
    </xdr:to>
    <xdr:sp macro="" textlink="">
      <xdr:nvSpPr>
        <xdr:cNvPr id="1034" name="Line 48">
          <a:extLst>
            <a:ext uri="{FF2B5EF4-FFF2-40B4-BE49-F238E27FC236}">
              <a16:creationId xmlns:a16="http://schemas.microsoft.com/office/drawing/2014/main" id="{57356DE7-B415-5C41-39AB-BFEA6BAE9102}"/>
            </a:ext>
          </a:extLst>
        </xdr:cNvPr>
        <xdr:cNvSpPr>
          <a:spLocks noChangeShapeType="1"/>
        </xdr:cNvSpPr>
      </xdr:nvSpPr>
      <xdr:spPr bwMode="auto">
        <a:xfrm flipV="1">
          <a:off x="9029700" y="11811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0</xdr:rowOff>
    </xdr:from>
    <xdr:to>
      <xdr:col>13</xdr:col>
      <xdr:colOff>200025</xdr:colOff>
      <xdr:row>33</xdr:row>
      <xdr:rowOff>0</xdr:rowOff>
    </xdr:to>
    <xdr:sp macro="" textlink="">
      <xdr:nvSpPr>
        <xdr:cNvPr id="1035" name="Line 21">
          <a:extLst>
            <a:ext uri="{FF2B5EF4-FFF2-40B4-BE49-F238E27FC236}">
              <a16:creationId xmlns:a16="http://schemas.microsoft.com/office/drawing/2014/main" id="{6EEB5637-BBA3-443D-5121-ADB3F1EE2A89}"/>
            </a:ext>
          </a:extLst>
        </xdr:cNvPr>
        <xdr:cNvSpPr>
          <a:spLocks noChangeShapeType="1"/>
        </xdr:cNvSpPr>
      </xdr:nvSpPr>
      <xdr:spPr bwMode="auto">
        <a:xfrm flipV="1">
          <a:off x="8772525" y="91440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30</xdr:row>
      <xdr:rowOff>0</xdr:rowOff>
    </xdr:from>
    <xdr:to>
      <xdr:col>13</xdr:col>
      <xdr:colOff>209550</xdr:colOff>
      <xdr:row>30</xdr:row>
      <xdr:rowOff>0</xdr:rowOff>
    </xdr:to>
    <xdr:sp macro="" textlink="">
      <xdr:nvSpPr>
        <xdr:cNvPr id="1036" name="Line 22">
          <a:extLst>
            <a:ext uri="{FF2B5EF4-FFF2-40B4-BE49-F238E27FC236}">
              <a16:creationId xmlns:a16="http://schemas.microsoft.com/office/drawing/2014/main" id="{2EA90267-BA86-0B86-38A3-F30F1900360D}"/>
            </a:ext>
          </a:extLst>
        </xdr:cNvPr>
        <xdr:cNvSpPr>
          <a:spLocks noChangeShapeType="1"/>
        </xdr:cNvSpPr>
      </xdr:nvSpPr>
      <xdr:spPr bwMode="auto">
        <a:xfrm flipV="1">
          <a:off x="8782050" y="83439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46</xdr:row>
      <xdr:rowOff>0</xdr:rowOff>
    </xdr:from>
    <xdr:to>
      <xdr:col>13</xdr:col>
      <xdr:colOff>133350</xdr:colOff>
      <xdr:row>46</xdr:row>
      <xdr:rowOff>0</xdr:rowOff>
    </xdr:to>
    <xdr:sp macro="" textlink="">
      <xdr:nvSpPr>
        <xdr:cNvPr id="1037" name="Line 23">
          <a:extLst>
            <a:ext uri="{FF2B5EF4-FFF2-40B4-BE49-F238E27FC236}">
              <a16:creationId xmlns:a16="http://schemas.microsoft.com/office/drawing/2014/main" id="{BE9AF764-6C3A-5DAE-1B07-6F4473B674AF}"/>
            </a:ext>
          </a:extLst>
        </xdr:cNvPr>
        <xdr:cNvSpPr>
          <a:spLocks noChangeShapeType="1"/>
        </xdr:cNvSpPr>
      </xdr:nvSpPr>
      <xdr:spPr bwMode="auto">
        <a:xfrm flipV="1">
          <a:off x="8782050" y="126111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200025</xdr:colOff>
      <xdr:row>43</xdr:row>
      <xdr:rowOff>0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185C5A5C-AF92-5B6A-2F6E-B8156CC49EF6}"/>
            </a:ext>
          </a:extLst>
        </xdr:cNvPr>
        <xdr:cNvSpPr>
          <a:spLocks noChangeShapeType="1"/>
        </xdr:cNvSpPr>
      </xdr:nvSpPr>
      <xdr:spPr bwMode="auto">
        <a:xfrm flipV="1">
          <a:off x="8772525" y="118110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85725</xdr:colOff>
      <xdr:row>0</xdr:row>
      <xdr:rowOff>76200</xdr:rowOff>
    </xdr:from>
    <xdr:to>
      <xdr:col>13</xdr:col>
      <xdr:colOff>219075</xdr:colOff>
      <xdr:row>1</xdr:row>
      <xdr:rowOff>333375</xdr:rowOff>
    </xdr:to>
    <xdr:pic>
      <xdr:nvPicPr>
        <xdr:cNvPr id="1039" name="Picture 4">
          <a:extLst>
            <a:ext uri="{FF2B5EF4-FFF2-40B4-BE49-F238E27FC236}">
              <a16:creationId xmlns:a16="http://schemas.microsoft.com/office/drawing/2014/main" id="{623B59C1-FC37-BADA-B8DF-F1909B9A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762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200025</xdr:rowOff>
    </xdr:from>
    <xdr:to>
      <xdr:col>0</xdr:col>
      <xdr:colOff>657225</xdr:colOff>
      <xdr:row>1</xdr:row>
      <xdr:rowOff>209550</xdr:rowOff>
    </xdr:to>
    <xdr:pic>
      <xdr:nvPicPr>
        <xdr:cNvPr id="1040" name="Picture 29">
          <a:extLst>
            <a:ext uri="{FF2B5EF4-FFF2-40B4-BE49-F238E27FC236}">
              <a16:creationId xmlns:a16="http://schemas.microsoft.com/office/drawing/2014/main" id="{1C1A11AE-AAFA-2EBF-C42B-C1BA3B6F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0025"/>
          <a:ext cx="619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0</xdr:colOff>
      <xdr:row>43</xdr:row>
      <xdr:rowOff>9525</xdr:rowOff>
    </xdr:to>
    <xdr:sp macro="" textlink="">
      <xdr:nvSpPr>
        <xdr:cNvPr id="1041" name="Line 48">
          <a:extLst>
            <a:ext uri="{FF2B5EF4-FFF2-40B4-BE49-F238E27FC236}">
              <a16:creationId xmlns:a16="http://schemas.microsoft.com/office/drawing/2014/main" id="{B984A3EF-6875-C411-5E41-8337F0C0536A}"/>
            </a:ext>
          </a:extLst>
        </xdr:cNvPr>
        <xdr:cNvSpPr>
          <a:spLocks noChangeShapeType="1"/>
        </xdr:cNvSpPr>
      </xdr:nvSpPr>
      <xdr:spPr bwMode="auto">
        <a:xfrm flipV="1">
          <a:off x="9029700" y="9144000"/>
          <a:ext cx="0" cy="267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3</xdr:row>
      <xdr:rowOff>180975</xdr:rowOff>
    </xdr:from>
    <xdr:to>
      <xdr:col>13</xdr:col>
      <xdr:colOff>38100</xdr:colOff>
      <xdr:row>13</xdr:row>
      <xdr:rowOff>238125</xdr:rowOff>
    </xdr:to>
    <xdr:pic>
      <xdr:nvPicPr>
        <xdr:cNvPr id="1042" name="Picture 42">
          <a:extLst>
            <a:ext uri="{FF2B5EF4-FFF2-40B4-BE49-F238E27FC236}">
              <a16:creationId xmlns:a16="http://schemas.microsoft.com/office/drawing/2014/main" id="{2780EBF0-C32D-5C95-E410-25D0297A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33475"/>
          <a:ext cx="4171950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2049" name="Freeform 1">
          <a:extLst>
            <a:ext uri="{FF2B5EF4-FFF2-40B4-BE49-F238E27FC236}">
              <a16:creationId xmlns:a16="http://schemas.microsoft.com/office/drawing/2014/main" id="{97D64229-2F12-8573-F3E2-326CF2BDF4B3}"/>
            </a:ext>
          </a:extLst>
        </xdr:cNvPr>
        <xdr:cNvSpPr>
          <a:spLocks/>
        </xdr:cNvSpPr>
      </xdr:nvSpPr>
      <xdr:spPr bwMode="auto">
        <a:xfrm>
          <a:off x="333375" y="222885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28575</xdr:rowOff>
    </xdr:from>
    <xdr:to>
      <xdr:col>12</xdr:col>
      <xdr:colOff>0</xdr:colOff>
      <xdr:row>50</xdr:row>
      <xdr:rowOff>9525</xdr:rowOff>
    </xdr:to>
    <xdr:sp macro="" textlink="">
      <xdr:nvSpPr>
        <xdr:cNvPr id="2050" name="Line 7">
          <a:extLst>
            <a:ext uri="{FF2B5EF4-FFF2-40B4-BE49-F238E27FC236}">
              <a16:creationId xmlns:a16="http://schemas.microsoft.com/office/drawing/2014/main" id="{8D2E89B1-B497-6360-1591-71C842BE04FA}"/>
            </a:ext>
          </a:extLst>
        </xdr:cNvPr>
        <xdr:cNvSpPr>
          <a:spLocks noChangeShapeType="1"/>
        </xdr:cNvSpPr>
      </xdr:nvSpPr>
      <xdr:spPr bwMode="auto">
        <a:xfrm>
          <a:off x="8772525" y="8124825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9525</xdr:colOff>
      <xdr:row>35</xdr:row>
      <xdr:rowOff>0</xdr:rowOff>
    </xdr:to>
    <xdr:sp macro="" textlink="">
      <xdr:nvSpPr>
        <xdr:cNvPr id="2051" name="Line 8">
          <a:extLst>
            <a:ext uri="{FF2B5EF4-FFF2-40B4-BE49-F238E27FC236}">
              <a16:creationId xmlns:a16="http://schemas.microsoft.com/office/drawing/2014/main" id="{5BCC52BA-584E-1547-C200-00F71484FD09}"/>
            </a:ext>
          </a:extLst>
        </xdr:cNvPr>
        <xdr:cNvSpPr>
          <a:spLocks noChangeShapeType="1"/>
        </xdr:cNvSpPr>
      </xdr:nvSpPr>
      <xdr:spPr bwMode="auto">
        <a:xfrm>
          <a:off x="8524875" y="9086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2052" name="Line 9">
          <a:extLst>
            <a:ext uri="{FF2B5EF4-FFF2-40B4-BE49-F238E27FC236}">
              <a16:creationId xmlns:a16="http://schemas.microsoft.com/office/drawing/2014/main" id="{854196A2-30B2-E26C-FBBD-BD82E588FBA5}"/>
            </a:ext>
          </a:extLst>
        </xdr:cNvPr>
        <xdr:cNvSpPr>
          <a:spLocks noChangeShapeType="1"/>
        </xdr:cNvSpPr>
      </xdr:nvSpPr>
      <xdr:spPr bwMode="auto">
        <a:xfrm>
          <a:off x="8524875" y="115633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50</xdr:row>
      <xdr:rowOff>0</xdr:rowOff>
    </xdr:from>
    <xdr:to>
      <xdr:col>12</xdr:col>
      <xdr:colOff>9525</xdr:colOff>
      <xdr:row>50</xdr:row>
      <xdr:rowOff>0</xdr:rowOff>
    </xdr:to>
    <xdr:sp macro="" textlink="">
      <xdr:nvSpPr>
        <xdr:cNvPr id="2053" name="Line 10">
          <a:extLst>
            <a:ext uri="{FF2B5EF4-FFF2-40B4-BE49-F238E27FC236}">
              <a16:creationId xmlns:a16="http://schemas.microsoft.com/office/drawing/2014/main" id="{CFDC62D7-E77C-7F63-901F-4216CBAFB33E}"/>
            </a:ext>
          </a:extLst>
        </xdr:cNvPr>
        <xdr:cNvSpPr>
          <a:spLocks noChangeShapeType="1"/>
        </xdr:cNvSpPr>
      </xdr:nvSpPr>
      <xdr:spPr bwMode="auto">
        <a:xfrm>
          <a:off x="8553450" y="128016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2054" name="Line 11">
          <a:extLst>
            <a:ext uri="{FF2B5EF4-FFF2-40B4-BE49-F238E27FC236}">
              <a16:creationId xmlns:a16="http://schemas.microsoft.com/office/drawing/2014/main" id="{DD714D6E-B852-B175-4676-9C7782469956}"/>
            </a:ext>
          </a:extLst>
        </xdr:cNvPr>
        <xdr:cNvSpPr>
          <a:spLocks noChangeShapeType="1"/>
        </xdr:cNvSpPr>
      </xdr:nvSpPr>
      <xdr:spPr bwMode="auto">
        <a:xfrm>
          <a:off x="8524875" y="8343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58</xdr:row>
      <xdr:rowOff>104775</xdr:rowOff>
    </xdr:from>
    <xdr:to>
      <xdr:col>0</xdr:col>
      <xdr:colOff>714375</xdr:colOff>
      <xdr:row>58</xdr:row>
      <xdr:rowOff>104775</xdr:rowOff>
    </xdr:to>
    <xdr:sp macro="" textlink="">
      <xdr:nvSpPr>
        <xdr:cNvPr id="2055" name="Line 12">
          <a:extLst>
            <a:ext uri="{FF2B5EF4-FFF2-40B4-BE49-F238E27FC236}">
              <a16:creationId xmlns:a16="http://schemas.microsoft.com/office/drawing/2014/main" id="{C5C71B45-AC8E-4D16-297A-6227FFEE55A7}"/>
            </a:ext>
          </a:extLst>
        </xdr:cNvPr>
        <xdr:cNvSpPr>
          <a:spLocks noChangeShapeType="1"/>
        </xdr:cNvSpPr>
      </xdr:nvSpPr>
      <xdr:spPr bwMode="auto">
        <a:xfrm>
          <a:off x="47625" y="1481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61</xdr:row>
      <xdr:rowOff>114300</xdr:rowOff>
    </xdr:from>
    <xdr:to>
      <xdr:col>0</xdr:col>
      <xdr:colOff>714375</xdr:colOff>
      <xdr:row>61</xdr:row>
      <xdr:rowOff>114300</xdr:rowOff>
    </xdr:to>
    <xdr:sp macro="" textlink="">
      <xdr:nvSpPr>
        <xdr:cNvPr id="2056" name="Line 14">
          <a:extLst>
            <a:ext uri="{FF2B5EF4-FFF2-40B4-BE49-F238E27FC236}">
              <a16:creationId xmlns:a16="http://schemas.microsoft.com/office/drawing/2014/main" id="{98AA52F5-BD40-1207-52C5-36B74BE6B723}"/>
            </a:ext>
          </a:extLst>
        </xdr:cNvPr>
        <xdr:cNvSpPr>
          <a:spLocks noChangeShapeType="1"/>
        </xdr:cNvSpPr>
      </xdr:nvSpPr>
      <xdr:spPr bwMode="auto">
        <a:xfrm>
          <a:off x="66675" y="155067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32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2057" name="Line 69">
          <a:extLst>
            <a:ext uri="{FF2B5EF4-FFF2-40B4-BE49-F238E27FC236}">
              <a16:creationId xmlns:a16="http://schemas.microsoft.com/office/drawing/2014/main" id="{5FF7EE0A-7E3D-A3D7-24E8-C5C9E681460E}"/>
            </a:ext>
          </a:extLst>
        </xdr:cNvPr>
        <xdr:cNvSpPr>
          <a:spLocks noChangeShapeType="1"/>
        </xdr:cNvSpPr>
      </xdr:nvSpPr>
      <xdr:spPr bwMode="auto">
        <a:xfrm>
          <a:off x="9029700" y="834390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45</xdr:row>
      <xdr:rowOff>0</xdr:rowOff>
    </xdr:from>
    <xdr:to>
      <xdr:col>13</xdr:col>
      <xdr:colOff>9525</xdr:colOff>
      <xdr:row>50</xdr:row>
      <xdr:rowOff>0</xdr:rowOff>
    </xdr:to>
    <xdr:sp macro="" textlink="">
      <xdr:nvSpPr>
        <xdr:cNvPr id="2058" name="Line 72">
          <a:extLst>
            <a:ext uri="{FF2B5EF4-FFF2-40B4-BE49-F238E27FC236}">
              <a16:creationId xmlns:a16="http://schemas.microsoft.com/office/drawing/2014/main" id="{7AC6BA08-B849-D146-E690-306D4E6ADBEB}"/>
            </a:ext>
          </a:extLst>
        </xdr:cNvPr>
        <xdr:cNvSpPr>
          <a:spLocks noChangeShapeType="1"/>
        </xdr:cNvSpPr>
      </xdr:nvSpPr>
      <xdr:spPr bwMode="auto">
        <a:xfrm>
          <a:off x="9039225" y="11563350"/>
          <a:ext cx="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32</xdr:row>
      <xdr:rowOff>0</xdr:rowOff>
    </xdr:from>
    <xdr:to>
      <xdr:col>13</xdr:col>
      <xdr:colOff>104775</xdr:colOff>
      <xdr:row>32</xdr:row>
      <xdr:rowOff>0</xdr:rowOff>
    </xdr:to>
    <xdr:sp macro="" textlink="">
      <xdr:nvSpPr>
        <xdr:cNvPr id="2059" name="Line 21">
          <a:extLst>
            <a:ext uri="{FF2B5EF4-FFF2-40B4-BE49-F238E27FC236}">
              <a16:creationId xmlns:a16="http://schemas.microsoft.com/office/drawing/2014/main" id="{18D94220-F557-4182-08A0-506FCA547DEA}"/>
            </a:ext>
          </a:extLst>
        </xdr:cNvPr>
        <xdr:cNvSpPr>
          <a:spLocks noChangeShapeType="1"/>
        </xdr:cNvSpPr>
      </xdr:nvSpPr>
      <xdr:spPr bwMode="auto">
        <a:xfrm>
          <a:off x="8763000" y="83439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35</xdr:row>
      <xdr:rowOff>0</xdr:rowOff>
    </xdr:from>
    <xdr:to>
      <xdr:col>13</xdr:col>
      <xdr:colOff>142875</xdr:colOff>
      <xdr:row>35</xdr:row>
      <xdr:rowOff>0</xdr:rowOff>
    </xdr:to>
    <xdr:sp macro="" textlink="">
      <xdr:nvSpPr>
        <xdr:cNvPr id="2060" name="Line 22">
          <a:extLst>
            <a:ext uri="{FF2B5EF4-FFF2-40B4-BE49-F238E27FC236}">
              <a16:creationId xmlns:a16="http://schemas.microsoft.com/office/drawing/2014/main" id="{2F82EF23-A7CD-81CA-646E-FCE2CD2B8CAA}"/>
            </a:ext>
          </a:extLst>
        </xdr:cNvPr>
        <xdr:cNvSpPr>
          <a:spLocks noChangeShapeType="1"/>
        </xdr:cNvSpPr>
      </xdr:nvSpPr>
      <xdr:spPr bwMode="auto">
        <a:xfrm>
          <a:off x="8801100" y="90868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45</xdr:row>
      <xdr:rowOff>0</xdr:rowOff>
    </xdr:from>
    <xdr:to>
      <xdr:col>13</xdr:col>
      <xdr:colOff>133350</xdr:colOff>
      <xdr:row>45</xdr:row>
      <xdr:rowOff>0</xdr:rowOff>
    </xdr:to>
    <xdr:sp macro="" textlink="">
      <xdr:nvSpPr>
        <xdr:cNvPr id="2061" name="Line 23">
          <a:extLst>
            <a:ext uri="{FF2B5EF4-FFF2-40B4-BE49-F238E27FC236}">
              <a16:creationId xmlns:a16="http://schemas.microsoft.com/office/drawing/2014/main" id="{5163F4EF-177E-AE5D-1B65-7D9D8B1BC8E4}"/>
            </a:ext>
          </a:extLst>
        </xdr:cNvPr>
        <xdr:cNvSpPr>
          <a:spLocks noChangeShapeType="1"/>
        </xdr:cNvSpPr>
      </xdr:nvSpPr>
      <xdr:spPr bwMode="auto">
        <a:xfrm>
          <a:off x="8791575" y="1156335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50</xdr:row>
      <xdr:rowOff>0</xdr:rowOff>
    </xdr:from>
    <xdr:to>
      <xdr:col>13</xdr:col>
      <xdr:colOff>190500</xdr:colOff>
      <xdr:row>50</xdr:row>
      <xdr:rowOff>0</xdr:rowOff>
    </xdr:to>
    <xdr:sp macro="" textlink="">
      <xdr:nvSpPr>
        <xdr:cNvPr id="2062" name="Line 24">
          <a:extLst>
            <a:ext uri="{FF2B5EF4-FFF2-40B4-BE49-F238E27FC236}">
              <a16:creationId xmlns:a16="http://schemas.microsoft.com/office/drawing/2014/main" id="{5D38CBB2-8E83-4559-0850-29CEA7414058}"/>
            </a:ext>
          </a:extLst>
        </xdr:cNvPr>
        <xdr:cNvSpPr>
          <a:spLocks noChangeShapeType="1"/>
        </xdr:cNvSpPr>
      </xdr:nvSpPr>
      <xdr:spPr bwMode="auto">
        <a:xfrm>
          <a:off x="8763000" y="1280160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66675</xdr:colOff>
      <xdr:row>0</xdr:row>
      <xdr:rowOff>66675</xdr:rowOff>
    </xdr:from>
    <xdr:to>
      <xdr:col>13</xdr:col>
      <xdr:colOff>200025</xdr:colOff>
      <xdr:row>1</xdr:row>
      <xdr:rowOff>323850</xdr:rowOff>
    </xdr:to>
    <xdr:pic>
      <xdr:nvPicPr>
        <xdr:cNvPr id="2063" name="Picture 4">
          <a:extLst>
            <a:ext uri="{FF2B5EF4-FFF2-40B4-BE49-F238E27FC236}">
              <a16:creationId xmlns:a16="http://schemas.microsoft.com/office/drawing/2014/main" id="{67B8749D-0E16-501A-A299-0112FD01A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66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209550</xdr:rowOff>
    </xdr:from>
    <xdr:to>
      <xdr:col>0</xdr:col>
      <xdr:colOff>666750</xdr:colOff>
      <xdr:row>1</xdr:row>
      <xdr:rowOff>190500</xdr:rowOff>
    </xdr:to>
    <xdr:pic>
      <xdr:nvPicPr>
        <xdr:cNvPr id="2064" name="Picture 29">
          <a:extLst>
            <a:ext uri="{FF2B5EF4-FFF2-40B4-BE49-F238E27FC236}">
              <a16:creationId xmlns:a16="http://schemas.microsoft.com/office/drawing/2014/main" id="{64F9F012-3212-C1A0-1BE0-5C7873A94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"/>
          <a:ext cx="6191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35</xdr:row>
      <xdr:rowOff>9525</xdr:rowOff>
    </xdr:from>
    <xdr:to>
      <xdr:col>13</xdr:col>
      <xdr:colOff>9525</xdr:colOff>
      <xdr:row>45</xdr:row>
      <xdr:rowOff>0</xdr:rowOff>
    </xdr:to>
    <xdr:sp macro="" textlink="">
      <xdr:nvSpPr>
        <xdr:cNvPr id="2065" name="Line 72">
          <a:extLst>
            <a:ext uri="{FF2B5EF4-FFF2-40B4-BE49-F238E27FC236}">
              <a16:creationId xmlns:a16="http://schemas.microsoft.com/office/drawing/2014/main" id="{EB37A551-BEF0-82E6-F18F-B099688708D6}"/>
            </a:ext>
          </a:extLst>
        </xdr:cNvPr>
        <xdr:cNvSpPr>
          <a:spLocks noChangeShapeType="1"/>
        </xdr:cNvSpPr>
      </xdr:nvSpPr>
      <xdr:spPr bwMode="auto">
        <a:xfrm>
          <a:off x="9039225" y="90963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676275</xdr:colOff>
      <xdr:row>4</xdr:row>
      <xdr:rowOff>95250</xdr:rowOff>
    </xdr:from>
    <xdr:to>
      <xdr:col>13</xdr:col>
      <xdr:colOff>180975</xdr:colOff>
      <xdr:row>14</xdr:row>
      <xdr:rowOff>47625</xdr:rowOff>
    </xdr:to>
    <xdr:pic>
      <xdr:nvPicPr>
        <xdr:cNvPr id="2066" name="Picture 20">
          <a:extLst>
            <a:ext uri="{FF2B5EF4-FFF2-40B4-BE49-F238E27FC236}">
              <a16:creationId xmlns:a16="http://schemas.microsoft.com/office/drawing/2014/main" id="{3B111AE7-EDD0-5649-E28C-4DC033630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295400"/>
          <a:ext cx="46958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3073" name="Freeform 1">
          <a:extLst>
            <a:ext uri="{FF2B5EF4-FFF2-40B4-BE49-F238E27FC236}">
              <a16:creationId xmlns:a16="http://schemas.microsoft.com/office/drawing/2014/main" id="{62CE6888-66CB-13AF-C890-108E00A60FD6}"/>
            </a:ext>
          </a:extLst>
        </xdr:cNvPr>
        <xdr:cNvSpPr>
          <a:spLocks/>
        </xdr:cNvSpPr>
      </xdr:nvSpPr>
      <xdr:spPr bwMode="auto">
        <a:xfrm>
          <a:off x="333375" y="230505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38100</xdr:rowOff>
    </xdr:from>
    <xdr:to>
      <xdr:col>12</xdr:col>
      <xdr:colOff>0</xdr:colOff>
      <xdr:row>50</xdr:row>
      <xdr:rowOff>238125</xdr:rowOff>
    </xdr:to>
    <xdr:sp macro="" textlink="">
      <xdr:nvSpPr>
        <xdr:cNvPr id="3074" name="Line 7">
          <a:extLst>
            <a:ext uri="{FF2B5EF4-FFF2-40B4-BE49-F238E27FC236}">
              <a16:creationId xmlns:a16="http://schemas.microsoft.com/office/drawing/2014/main" id="{2734F6B7-1552-6F6E-CE55-3C6D3035C997}"/>
            </a:ext>
          </a:extLst>
        </xdr:cNvPr>
        <xdr:cNvSpPr>
          <a:spLocks noChangeShapeType="1"/>
        </xdr:cNvSpPr>
      </xdr:nvSpPr>
      <xdr:spPr bwMode="auto">
        <a:xfrm>
          <a:off x="8772525" y="8896350"/>
          <a:ext cx="0" cy="500062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9525</xdr:colOff>
      <xdr:row>36</xdr:row>
      <xdr:rowOff>0</xdr:rowOff>
    </xdr:to>
    <xdr:sp macro="" textlink="">
      <xdr:nvSpPr>
        <xdr:cNvPr id="3075" name="Line 8">
          <a:extLst>
            <a:ext uri="{FF2B5EF4-FFF2-40B4-BE49-F238E27FC236}">
              <a16:creationId xmlns:a16="http://schemas.microsoft.com/office/drawing/2014/main" id="{918AABCE-8811-0047-0AD6-86E9CEAC2062}"/>
            </a:ext>
          </a:extLst>
        </xdr:cNvPr>
        <xdr:cNvSpPr>
          <a:spLocks noChangeShapeType="1"/>
        </xdr:cNvSpPr>
      </xdr:nvSpPr>
      <xdr:spPr bwMode="auto">
        <a:xfrm>
          <a:off x="8524875" y="99250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3076" name="Line 9">
          <a:extLst>
            <a:ext uri="{FF2B5EF4-FFF2-40B4-BE49-F238E27FC236}">
              <a16:creationId xmlns:a16="http://schemas.microsoft.com/office/drawing/2014/main" id="{BE66DE57-E46D-3B65-F0D5-D2D41C641B74}"/>
            </a:ext>
          </a:extLst>
        </xdr:cNvPr>
        <xdr:cNvSpPr>
          <a:spLocks noChangeShapeType="1"/>
        </xdr:cNvSpPr>
      </xdr:nvSpPr>
      <xdr:spPr bwMode="auto">
        <a:xfrm>
          <a:off x="8524875" y="125920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51</xdr:row>
      <xdr:rowOff>0</xdr:rowOff>
    </xdr:from>
    <xdr:to>
      <xdr:col>12</xdr:col>
      <xdr:colOff>9525</xdr:colOff>
      <xdr:row>51</xdr:row>
      <xdr:rowOff>0</xdr:rowOff>
    </xdr:to>
    <xdr:sp macro="" textlink="">
      <xdr:nvSpPr>
        <xdr:cNvPr id="3077" name="Line 10">
          <a:extLst>
            <a:ext uri="{FF2B5EF4-FFF2-40B4-BE49-F238E27FC236}">
              <a16:creationId xmlns:a16="http://schemas.microsoft.com/office/drawing/2014/main" id="{409F627B-C2F5-7573-1F7E-42B0F09A648F}"/>
            </a:ext>
          </a:extLst>
        </xdr:cNvPr>
        <xdr:cNvSpPr>
          <a:spLocks noChangeShapeType="1"/>
        </xdr:cNvSpPr>
      </xdr:nvSpPr>
      <xdr:spPr bwMode="auto">
        <a:xfrm>
          <a:off x="8553450" y="13925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33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3078" name="Line 11">
          <a:extLst>
            <a:ext uri="{FF2B5EF4-FFF2-40B4-BE49-F238E27FC236}">
              <a16:creationId xmlns:a16="http://schemas.microsoft.com/office/drawing/2014/main" id="{6C30CF04-D9D8-499D-D30C-55A2B6633AF7}"/>
            </a:ext>
          </a:extLst>
        </xdr:cNvPr>
        <xdr:cNvSpPr>
          <a:spLocks noChangeShapeType="1"/>
        </xdr:cNvSpPr>
      </xdr:nvSpPr>
      <xdr:spPr bwMode="auto">
        <a:xfrm>
          <a:off x="8524875" y="91249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59</xdr:row>
      <xdr:rowOff>123825</xdr:rowOff>
    </xdr:from>
    <xdr:to>
      <xdr:col>1</xdr:col>
      <xdr:colOff>0</xdr:colOff>
      <xdr:row>59</xdr:row>
      <xdr:rowOff>123825</xdr:rowOff>
    </xdr:to>
    <xdr:sp macro="" textlink="">
      <xdr:nvSpPr>
        <xdr:cNvPr id="3079" name="Line 12">
          <a:extLst>
            <a:ext uri="{FF2B5EF4-FFF2-40B4-BE49-F238E27FC236}">
              <a16:creationId xmlns:a16="http://schemas.microsoft.com/office/drawing/2014/main" id="{9360D7B6-BF62-D024-8AE3-2BB58369D6D3}"/>
            </a:ext>
          </a:extLst>
        </xdr:cNvPr>
        <xdr:cNvSpPr>
          <a:spLocks noChangeShapeType="1"/>
        </xdr:cNvSpPr>
      </xdr:nvSpPr>
      <xdr:spPr bwMode="auto">
        <a:xfrm>
          <a:off x="47625" y="160305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62</xdr:row>
      <xdr:rowOff>123825</xdr:rowOff>
    </xdr:from>
    <xdr:to>
      <xdr:col>1</xdr:col>
      <xdr:colOff>0</xdr:colOff>
      <xdr:row>62</xdr:row>
      <xdr:rowOff>123825</xdr:rowOff>
    </xdr:to>
    <xdr:sp macro="" textlink="">
      <xdr:nvSpPr>
        <xdr:cNvPr id="3080" name="Line 13">
          <a:extLst>
            <a:ext uri="{FF2B5EF4-FFF2-40B4-BE49-F238E27FC236}">
              <a16:creationId xmlns:a16="http://schemas.microsoft.com/office/drawing/2014/main" id="{425DC207-8F7F-1183-3D40-347CFD8AC3E5}"/>
            </a:ext>
          </a:extLst>
        </xdr:cNvPr>
        <xdr:cNvSpPr>
          <a:spLocks noChangeShapeType="1"/>
        </xdr:cNvSpPr>
      </xdr:nvSpPr>
      <xdr:spPr bwMode="auto">
        <a:xfrm>
          <a:off x="66675" y="167544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3081" name="Line 92">
          <a:extLst>
            <a:ext uri="{FF2B5EF4-FFF2-40B4-BE49-F238E27FC236}">
              <a16:creationId xmlns:a16="http://schemas.microsoft.com/office/drawing/2014/main" id="{B90ED18C-2FF8-6C07-22A4-C822488FE5AD}"/>
            </a:ext>
          </a:extLst>
        </xdr:cNvPr>
        <xdr:cNvSpPr>
          <a:spLocks noChangeShapeType="1"/>
        </xdr:cNvSpPr>
      </xdr:nvSpPr>
      <xdr:spPr bwMode="auto">
        <a:xfrm>
          <a:off x="9029700" y="91249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Line 95">
          <a:extLst>
            <a:ext uri="{FF2B5EF4-FFF2-40B4-BE49-F238E27FC236}">
              <a16:creationId xmlns:a16="http://schemas.microsoft.com/office/drawing/2014/main" id="{FFC26DDF-4042-0DA0-2062-69937DDD50B3}"/>
            </a:ext>
          </a:extLst>
        </xdr:cNvPr>
        <xdr:cNvSpPr>
          <a:spLocks noChangeShapeType="1"/>
        </xdr:cNvSpPr>
      </xdr:nvSpPr>
      <xdr:spPr bwMode="auto">
        <a:xfrm>
          <a:off x="9029700" y="125920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33</xdr:row>
      <xdr:rowOff>0</xdr:rowOff>
    </xdr:from>
    <xdr:to>
      <xdr:col>13</xdr:col>
      <xdr:colOff>133350</xdr:colOff>
      <xdr:row>33</xdr:row>
      <xdr:rowOff>0</xdr:rowOff>
    </xdr:to>
    <xdr:sp macro="" textlink="">
      <xdr:nvSpPr>
        <xdr:cNvPr id="3083" name="Line 24">
          <a:extLst>
            <a:ext uri="{FF2B5EF4-FFF2-40B4-BE49-F238E27FC236}">
              <a16:creationId xmlns:a16="http://schemas.microsoft.com/office/drawing/2014/main" id="{E9237032-ED33-84E8-4C8D-02C8E8B3F765}"/>
            </a:ext>
          </a:extLst>
        </xdr:cNvPr>
        <xdr:cNvSpPr>
          <a:spLocks noChangeShapeType="1"/>
        </xdr:cNvSpPr>
      </xdr:nvSpPr>
      <xdr:spPr bwMode="auto">
        <a:xfrm>
          <a:off x="8782050" y="91249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51</xdr:row>
      <xdr:rowOff>0</xdr:rowOff>
    </xdr:from>
    <xdr:to>
      <xdr:col>13</xdr:col>
      <xdr:colOff>123825</xdr:colOff>
      <xdr:row>51</xdr:row>
      <xdr:rowOff>0</xdr:rowOff>
    </xdr:to>
    <xdr:sp macro="" textlink="">
      <xdr:nvSpPr>
        <xdr:cNvPr id="3084" name="Line 25">
          <a:extLst>
            <a:ext uri="{FF2B5EF4-FFF2-40B4-BE49-F238E27FC236}">
              <a16:creationId xmlns:a16="http://schemas.microsoft.com/office/drawing/2014/main" id="{38C4E4F1-DDAD-4490-D220-E1B62A556140}"/>
            </a:ext>
          </a:extLst>
        </xdr:cNvPr>
        <xdr:cNvSpPr>
          <a:spLocks noChangeShapeType="1"/>
        </xdr:cNvSpPr>
      </xdr:nvSpPr>
      <xdr:spPr bwMode="auto">
        <a:xfrm>
          <a:off x="8772525" y="139255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46</xdr:row>
      <xdr:rowOff>0</xdr:rowOff>
    </xdr:from>
    <xdr:to>
      <xdr:col>13</xdr:col>
      <xdr:colOff>133350</xdr:colOff>
      <xdr:row>46</xdr:row>
      <xdr:rowOff>0</xdr:rowOff>
    </xdr:to>
    <xdr:sp macro="" textlink="">
      <xdr:nvSpPr>
        <xdr:cNvPr id="3085" name="Line 26">
          <a:extLst>
            <a:ext uri="{FF2B5EF4-FFF2-40B4-BE49-F238E27FC236}">
              <a16:creationId xmlns:a16="http://schemas.microsoft.com/office/drawing/2014/main" id="{57404563-5DBD-50FF-04BD-75FB8D9F8462}"/>
            </a:ext>
          </a:extLst>
        </xdr:cNvPr>
        <xdr:cNvSpPr>
          <a:spLocks noChangeShapeType="1"/>
        </xdr:cNvSpPr>
      </xdr:nvSpPr>
      <xdr:spPr bwMode="auto">
        <a:xfrm>
          <a:off x="8782050" y="125920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123825</xdr:colOff>
      <xdr:row>36</xdr:row>
      <xdr:rowOff>0</xdr:rowOff>
    </xdr:to>
    <xdr:sp macro="" textlink="">
      <xdr:nvSpPr>
        <xdr:cNvPr id="3086" name="Line 27">
          <a:extLst>
            <a:ext uri="{FF2B5EF4-FFF2-40B4-BE49-F238E27FC236}">
              <a16:creationId xmlns:a16="http://schemas.microsoft.com/office/drawing/2014/main" id="{C74DEF85-A537-01F3-E7BE-A0672A262F7B}"/>
            </a:ext>
          </a:extLst>
        </xdr:cNvPr>
        <xdr:cNvSpPr>
          <a:spLocks noChangeShapeType="1"/>
        </xdr:cNvSpPr>
      </xdr:nvSpPr>
      <xdr:spPr bwMode="auto">
        <a:xfrm>
          <a:off x="8772525" y="99250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66675</xdr:colOff>
      <xdr:row>0</xdr:row>
      <xdr:rowOff>66675</xdr:rowOff>
    </xdr:from>
    <xdr:to>
      <xdr:col>13</xdr:col>
      <xdr:colOff>200025</xdr:colOff>
      <xdr:row>1</xdr:row>
      <xdr:rowOff>323850</xdr:rowOff>
    </xdr:to>
    <xdr:pic>
      <xdr:nvPicPr>
        <xdr:cNvPr id="3087" name="Picture 4">
          <a:extLst>
            <a:ext uri="{FF2B5EF4-FFF2-40B4-BE49-F238E27FC236}">
              <a16:creationId xmlns:a16="http://schemas.microsoft.com/office/drawing/2014/main" id="{74BF2202-82E6-D9EB-DCB1-394779BE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66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200025</xdr:rowOff>
    </xdr:from>
    <xdr:to>
      <xdr:col>0</xdr:col>
      <xdr:colOff>676275</xdr:colOff>
      <xdr:row>1</xdr:row>
      <xdr:rowOff>190500</xdr:rowOff>
    </xdr:to>
    <xdr:pic>
      <xdr:nvPicPr>
        <xdr:cNvPr id="3088" name="Picture 34">
          <a:extLst>
            <a:ext uri="{FF2B5EF4-FFF2-40B4-BE49-F238E27FC236}">
              <a16:creationId xmlns:a16="http://schemas.microsoft.com/office/drawing/2014/main" id="{32079882-3029-CA2D-0D61-8D92BE11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628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36</xdr:row>
      <xdr:rowOff>9525</xdr:rowOff>
    </xdr:from>
    <xdr:to>
      <xdr:col>13</xdr:col>
      <xdr:colOff>0</xdr:colOff>
      <xdr:row>46</xdr:row>
      <xdr:rowOff>0</xdr:rowOff>
    </xdr:to>
    <xdr:sp macro="" textlink="">
      <xdr:nvSpPr>
        <xdr:cNvPr id="3089" name="Line 95">
          <a:extLst>
            <a:ext uri="{FF2B5EF4-FFF2-40B4-BE49-F238E27FC236}">
              <a16:creationId xmlns:a16="http://schemas.microsoft.com/office/drawing/2014/main" id="{06EC8935-AF8A-9692-26FA-9C95E6356666}"/>
            </a:ext>
          </a:extLst>
        </xdr:cNvPr>
        <xdr:cNvSpPr>
          <a:spLocks noChangeShapeType="1"/>
        </xdr:cNvSpPr>
      </xdr:nvSpPr>
      <xdr:spPr bwMode="auto">
        <a:xfrm>
          <a:off x="9029700" y="9934575"/>
          <a:ext cx="0" cy="2657475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342900</xdr:colOff>
      <xdr:row>3</xdr:row>
      <xdr:rowOff>152400</xdr:rowOff>
    </xdr:from>
    <xdr:to>
      <xdr:col>13</xdr:col>
      <xdr:colOff>19050</xdr:colOff>
      <xdr:row>12</xdr:row>
      <xdr:rowOff>161925</xdr:rowOff>
    </xdr:to>
    <xdr:pic>
      <xdr:nvPicPr>
        <xdr:cNvPr id="3090" name="Picture 42">
          <a:extLst>
            <a:ext uri="{FF2B5EF4-FFF2-40B4-BE49-F238E27FC236}">
              <a16:creationId xmlns:a16="http://schemas.microsoft.com/office/drawing/2014/main" id="{3359E26C-0DFE-BC16-CA86-4ABA2395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104900"/>
          <a:ext cx="40862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4097" name="Freeform 1">
          <a:extLst>
            <a:ext uri="{FF2B5EF4-FFF2-40B4-BE49-F238E27FC236}">
              <a16:creationId xmlns:a16="http://schemas.microsoft.com/office/drawing/2014/main" id="{9C218AB3-AD6A-912D-EEDE-6CD2D098DA6C}"/>
            </a:ext>
          </a:extLst>
        </xdr:cNvPr>
        <xdr:cNvSpPr>
          <a:spLocks/>
        </xdr:cNvSpPr>
      </xdr:nvSpPr>
      <xdr:spPr bwMode="auto">
        <a:xfrm>
          <a:off x="333375" y="230505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31</xdr:row>
      <xdr:rowOff>38100</xdr:rowOff>
    </xdr:from>
    <xdr:to>
      <xdr:col>12</xdr:col>
      <xdr:colOff>0</xdr:colOff>
      <xdr:row>49</xdr:row>
      <xdr:rowOff>247650</xdr:rowOff>
    </xdr:to>
    <xdr:sp macro="" textlink="">
      <xdr:nvSpPr>
        <xdr:cNvPr id="4098" name="Line 7">
          <a:extLst>
            <a:ext uri="{FF2B5EF4-FFF2-40B4-BE49-F238E27FC236}">
              <a16:creationId xmlns:a16="http://schemas.microsoft.com/office/drawing/2014/main" id="{CB3E80E8-9CF5-AD97-DEBB-08B72D7E6245}"/>
            </a:ext>
          </a:extLst>
        </xdr:cNvPr>
        <xdr:cNvSpPr>
          <a:spLocks noChangeShapeType="1"/>
        </xdr:cNvSpPr>
      </xdr:nvSpPr>
      <xdr:spPr bwMode="auto">
        <a:xfrm>
          <a:off x="8772525" y="8553450"/>
          <a:ext cx="0" cy="501015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9525</xdr:colOff>
      <xdr:row>35</xdr:row>
      <xdr:rowOff>0</xdr:rowOff>
    </xdr:to>
    <xdr:sp macro="" textlink="">
      <xdr:nvSpPr>
        <xdr:cNvPr id="4099" name="Line 8">
          <a:extLst>
            <a:ext uri="{FF2B5EF4-FFF2-40B4-BE49-F238E27FC236}">
              <a16:creationId xmlns:a16="http://schemas.microsoft.com/office/drawing/2014/main" id="{22502CAB-3E79-BDB9-3577-7E58D07035F4}"/>
            </a:ext>
          </a:extLst>
        </xdr:cNvPr>
        <xdr:cNvSpPr>
          <a:spLocks noChangeShapeType="1"/>
        </xdr:cNvSpPr>
      </xdr:nvSpPr>
      <xdr:spPr bwMode="auto">
        <a:xfrm>
          <a:off x="8524875" y="95821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4100" name="Line 9">
          <a:extLst>
            <a:ext uri="{FF2B5EF4-FFF2-40B4-BE49-F238E27FC236}">
              <a16:creationId xmlns:a16="http://schemas.microsoft.com/office/drawing/2014/main" id="{BB25C939-F393-61E0-1D14-7F1DEA729169}"/>
            </a:ext>
          </a:extLst>
        </xdr:cNvPr>
        <xdr:cNvSpPr>
          <a:spLocks noChangeShapeType="1"/>
        </xdr:cNvSpPr>
      </xdr:nvSpPr>
      <xdr:spPr bwMode="auto">
        <a:xfrm>
          <a:off x="8524875" y="122491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50</xdr:row>
      <xdr:rowOff>0</xdr:rowOff>
    </xdr:from>
    <xdr:to>
      <xdr:col>12</xdr:col>
      <xdr:colOff>9525</xdr:colOff>
      <xdr:row>50</xdr:row>
      <xdr:rowOff>0</xdr:rowOff>
    </xdr:to>
    <xdr:sp macro="" textlink="">
      <xdr:nvSpPr>
        <xdr:cNvPr id="4101" name="Line 10">
          <a:extLst>
            <a:ext uri="{FF2B5EF4-FFF2-40B4-BE49-F238E27FC236}">
              <a16:creationId xmlns:a16="http://schemas.microsoft.com/office/drawing/2014/main" id="{F4FE17CA-9BB9-6346-C662-947CCC439247}"/>
            </a:ext>
          </a:extLst>
        </xdr:cNvPr>
        <xdr:cNvSpPr>
          <a:spLocks noChangeShapeType="1"/>
        </xdr:cNvSpPr>
      </xdr:nvSpPr>
      <xdr:spPr bwMode="auto">
        <a:xfrm>
          <a:off x="8553450" y="135826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4102" name="Line 11">
          <a:extLst>
            <a:ext uri="{FF2B5EF4-FFF2-40B4-BE49-F238E27FC236}">
              <a16:creationId xmlns:a16="http://schemas.microsoft.com/office/drawing/2014/main" id="{E6C9BD16-CAD2-1DA2-F367-262F0F9F7B0C}"/>
            </a:ext>
          </a:extLst>
        </xdr:cNvPr>
        <xdr:cNvSpPr>
          <a:spLocks noChangeShapeType="1"/>
        </xdr:cNvSpPr>
      </xdr:nvSpPr>
      <xdr:spPr bwMode="auto">
        <a:xfrm>
          <a:off x="8524875" y="87820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58</xdr:row>
      <xdr:rowOff>123825</xdr:rowOff>
    </xdr:from>
    <xdr:to>
      <xdr:col>1</xdr:col>
      <xdr:colOff>0</xdr:colOff>
      <xdr:row>58</xdr:row>
      <xdr:rowOff>123825</xdr:rowOff>
    </xdr:to>
    <xdr:sp macro="" textlink="">
      <xdr:nvSpPr>
        <xdr:cNvPr id="4103" name="Line 12">
          <a:extLst>
            <a:ext uri="{FF2B5EF4-FFF2-40B4-BE49-F238E27FC236}">
              <a16:creationId xmlns:a16="http://schemas.microsoft.com/office/drawing/2014/main" id="{28EFE1F1-2706-6434-A1D2-6AE4336A9255}"/>
            </a:ext>
          </a:extLst>
        </xdr:cNvPr>
        <xdr:cNvSpPr>
          <a:spLocks noChangeShapeType="1"/>
        </xdr:cNvSpPr>
      </xdr:nvSpPr>
      <xdr:spPr bwMode="auto">
        <a:xfrm>
          <a:off x="47625" y="156876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61</xdr:row>
      <xdr:rowOff>123825</xdr:rowOff>
    </xdr:from>
    <xdr:to>
      <xdr:col>1</xdr:col>
      <xdr:colOff>0</xdr:colOff>
      <xdr:row>61</xdr:row>
      <xdr:rowOff>123825</xdr:rowOff>
    </xdr:to>
    <xdr:sp macro="" textlink="">
      <xdr:nvSpPr>
        <xdr:cNvPr id="4104" name="Line 13">
          <a:extLst>
            <a:ext uri="{FF2B5EF4-FFF2-40B4-BE49-F238E27FC236}">
              <a16:creationId xmlns:a16="http://schemas.microsoft.com/office/drawing/2014/main" id="{399FAD0F-7204-CA9B-1F01-5C6ACD43942A}"/>
            </a:ext>
          </a:extLst>
        </xdr:cNvPr>
        <xdr:cNvSpPr>
          <a:spLocks noChangeShapeType="1"/>
        </xdr:cNvSpPr>
      </xdr:nvSpPr>
      <xdr:spPr bwMode="auto">
        <a:xfrm>
          <a:off x="66675" y="164115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257175</xdr:rowOff>
    </xdr:from>
    <xdr:to>
      <xdr:col>13</xdr:col>
      <xdr:colOff>0</xdr:colOff>
      <xdr:row>35</xdr:row>
      <xdr:rowOff>0</xdr:rowOff>
    </xdr:to>
    <xdr:sp macro="" textlink="">
      <xdr:nvSpPr>
        <xdr:cNvPr id="4105" name="Line 92">
          <a:extLst>
            <a:ext uri="{FF2B5EF4-FFF2-40B4-BE49-F238E27FC236}">
              <a16:creationId xmlns:a16="http://schemas.microsoft.com/office/drawing/2014/main" id="{103FEECF-BF28-5DF8-228E-DAC7006018E5}"/>
            </a:ext>
          </a:extLst>
        </xdr:cNvPr>
        <xdr:cNvSpPr>
          <a:spLocks noChangeShapeType="1"/>
        </xdr:cNvSpPr>
      </xdr:nvSpPr>
      <xdr:spPr bwMode="auto">
        <a:xfrm>
          <a:off x="9029700" y="87725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0</xdr:colOff>
      <xdr:row>49</xdr:row>
      <xdr:rowOff>257175</xdr:rowOff>
    </xdr:to>
    <xdr:sp macro="" textlink="">
      <xdr:nvSpPr>
        <xdr:cNvPr id="4106" name="Line 95">
          <a:extLst>
            <a:ext uri="{FF2B5EF4-FFF2-40B4-BE49-F238E27FC236}">
              <a16:creationId xmlns:a16="http://schemas.microsoft.com/office/drawing/2014/main" id="{B2C3598D-0D8E-048D-32D0-0DA47407FDE8}"/>
            </a:ext>
          </a:extLst>
        </xdr:cNvPr>
        <xdr:cNvSpPr>
          <a:spLocks noChangeShapeType="1"/>
        </xdr:cNvSpPr>
      </xdr:nvSpPr>
      <xdr:spPr bwMode="auto">
        <a:xfrm>
          <a:off x="9029700" y="12249150"/>
          <a:ext cx="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32</xdr:row>
      <xdr:rowOff>0</xdr:rowOff>
    </xdr:from>
    <xdr:to>
      <xdr:col>13</xdr:col>
      <xdr:colOff>133350</xdr:colOff>
      <xdr:row>32</xdr:row>
      <xdr:rowOff>0</xdr:rowOff>
    </xdr:to>
    <xdr:sp macro="" textlink="">
      <xdr:nvSpPr>
        <xdr:cNvPr id="4107" name="Line 11">
          <a:extLst>
            <a:ext uri="{FF2B5EF4-FFF2-40B4-BE49-F238E27FC236}">
              <a16:creationId xmlns:a16="http://schemas.microsoft.com/office/drawing/2014/main" id="{3D213E64-1748-2F8D-A4C4-B1E6835400B9}"/>
            </a:ext>
          </a:extLst>
        </xdr:cNvPr>
        <xdr:cNvSpPr>
          <a:spLocks noChangeShapeType="1"/>
        </xdr:cNvSpPr>
      </xdr:nvSpPr>
      <xdr:spPr bwMode="auto">
        <a:xfrm>
          <a:off x="8782050" y="87820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13</xdr:col>
      <xdr:colOff>123825</xdr:colOff>
      <xdr:row>50</xdr:row>
      <xdr:rowOff>0</xdr:rowOff>
    </xdr:to>
    <xdr:sp macro="" textlink="">
      <xdr:nvSpPr>
        <xdr:cNvPr id="4108" name="Line 12">
          <a:extLst>
            <a:ext uri="{FF2B5EF4-FFF2-40B4-BE49-F238E27FC236}">
              <a16:creationId xmlns:a16="http://schemas.microsoft.com/office/drawing/2014/main" id="{A67E77F9-7367-062A-025A-F4B367F8FD3B}"/>
            </a:ext>
          </a:extLst>
        </xdr:cNvPr>
        <xdr:cNvSpPr>
          <a:spLocks noChangeShapeType="1"/>
        </xdr:cNvSpPr>
      </xdr:nvSpPr>
      <xdr:spPr bwMode="auto">
        <a:xfrm>
          <a:off x="8772525" y="135826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45</xdr:row>
      <xdr:rowOff>0</xdr:rowOff>
    </xdr:from>
    <xdr:to>
      <xdr:col>13</xdr:col>
      <xdr:colOff>133350</xdr:colOff>
      <xdr:row>45</xdr:row>
      <xdr:rowOff>0</xdr:rowOff>
    </xdr:to>
    <xdr:sp macro="" textlink="">
      <xdr:nvSpPr>
        <xdr:cNvPr id="4109" name="Line 13">
          <a:extLst>
            <a:ext uri="{FF2B5EF4-FFF2-40B4-BE49-F238E27FC236}">
              <a16:creationId xmlns:a16="http://schemas.microsoft.com/office/drawing/2014/main" id="{866E0C9E-06E0-9CD2-CD5B-B7F9AA21147F}"/>
            </a:ext>
          </a:extLst>
        </xdr:cNvPr>
        <xdr:cNvSpPr>
          <a:spLocks noChangeShapeType="1"/>
        </xdr:cNvSpPr>
      </xdr:nvSpPr>
      <xdr:spPr bwMode="auto">
        <a:xfrm>
          <a:off x="8782050" y="122491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13</xdr:col>
      <xdr:colOff>123825</xdr:colOff>
      <xdr:row>35</xdr:row>
      <xdr:rowOff>0</xdr:rowOff>
    </xdr:to>
    <xdr:sp macro="" textlink="">
      <xdr:nvSpPr>
        <xdr:cNvPr id="4110" name="Line 14">
          <a:extLst>
            <a:ext uri="{FF2B5EF4-FFF2-40B4-BE49-F238E27FC236}">
              <a16:creationId xmlns:a16="http://schemas.microsoft.com/office/drawing/2014/main" id="{20B4F730-0301-4417-84C1-64F7E13E5696}"/>
            </a:ext>
          </a:extLst>
        </xdr:cNvPr>
        <xdr:cNvSpPr>
          <a:spLocks noChangeShapeType="1"/>
        </xdr:cNvSpPr>
      </xdr:nvSpPr>
      <xdr:spPr bwMode="auto">
        <a:xfrm>
          <a:off x="8772525" y="95821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66675</xdr:colOff>
      <xdr:row>0</xdr:row>
      <xdr:rowOff>66675</xdr:rowOff>
    </xdr:from>
    <xdr:to>
      <xdr:col>13</xdr:col>
      <xdr:colOff>200025</xdr:colOff>
      <xdr:row>1</xdr:row>
      <xdr:rowOff>323850</xdr:rowOff>
    </xdr:to>
    <xdr:pic>
      <xdr:nvPicPr>
        <xdr:cNvPr id="4111" name="Picture 4">
          <a:extLst>
            <a:ext uri="{FF2B5EF4-FFF2-40B4-BE49-F238E27FC236}">
              <a16:creationId xmlns:a16="http://schemas.microsoft.com/office/drawing/2014/main" id="{DB3910AB-78CB-8C55-ECCA-E2F178A9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66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190500</xdr:rowOff>
    </xdr:from>
    <xdr:to>
      <xdr:col>0</xdr:col>
      <xdr:colOff>666750</xdr:colOff>
      <xdr:row>1</xdr:row>
      <xdr:rowOff>190500</xdr:rowOff>
    </xdr:to>
    <xdr:pic>
      <xdr:nvPicPr>
        <xdr:cNvPr id="4112" name="Picture 23">
          <a:extLst>
            <a:ext uri="{FF2B5EF4-FFF2-40B4-BE49-F238E27FC236}">
              <a16:creationId xmlns:a16="http://schemas.microsoft.com/office/drawing/2014/main" id="{B86A41A1-FC80-8ADF-8EF8-C8FB3889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0"/>
          <a:ext cx="6572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4113" name="Line 95">
          <a:extLst>
            <a:ext uri="{FF2B5EF4-FFF2-40B4-BE49-F238E27FC236}">
              <a16:creationId xmlns:a16="http://schemas.microsoft.com/office/drawing/2014/main" id="{5D288BD6-789A-D9DE-B8ED-35496CDB9A7B}"/>
            </a:ext>
          </a:extLst>
        </xdr:cNvPr>
        <xdr:cNvSpPr>
          <a:spLocks noChangeShapeType="1"/>
        </xdr:cNvSpPr>
      </xdr:nvSpPr>
      <xdr:spPr bwMode="auto">
        <a:xfrm>
          <a:off x="9029700" y="958215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571500</xdr:colOff>
      <xdr:row>3</xdr:row>
      <xdr:rowOff>180975</xdr:rowOff>
    </xdr:from>
    <xdr:to>
      <xdr:col>13</xdr:col>
      <xdr:colOff>104775</xdr:colOff>
      <xdr:row>12</xdr:row>
      <xdr:rowOff>219075</xdr:rowOff>
    </xdr:to>
    <xdr:pic>
      <xdr:nvPicPr>
        <xdr:cNvPr id="4114" name="Picture 20">
          <a:extLst>
            <a:ext uri="{FF2B5EF4-FFF2-40B4-BE49-F238E27FC236}">
              <a16:creationId xmlns:a16="http://schemas.microsoft.com/office/drawing/2014/main" id="{40BB4C4B-EAEF-7444-A0DD-81184984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133475"/>
          <a:ext cx="39433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8</xdr:row>
      <xdr:rowOff>66675</xdr:rowOff>
    </xdr:from>
    <xdr:to>
      <xdr:col>0</xdr:col>
      <xdr:colOff>447675</xdr:colOff>
      <xdr:row>8</xdr:row>
      <xdr:rowOff>161925</xdr:rowOff>
    </xdr:to>
    <xdr:sp macro="" textlink="">
      <xdr:nvSpPr>
        <xdr:cNvPr id="5121" name="Freeform 1">
          <a:extLst>
            <a:ext uri="{FF2B5EF4-FFF2-40B4-BE49-F238E27FC236}">
              <a16:creationId xmlns:a16="http://schemas.microsoft.com/office/drawing/2014/main" id="{EAD78E40-2ACF-08D1-828C-FD384E077CB7}"/>
            </a:ext>
          </a:extLst>
        </xdr:cNvPr>
        <xdr:cNvSpPr>
          <a:spLocks/>
        </xdr:cNvSpPr>
      </xdr:nvSpPr>
      <xdr:spPr bwMode="auto">
        <a:xfrm>
          <a:off x="371475" y="2257425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47625</xdr:rowOff>
    </xdr:from>
    <xdr:to>
      <xdr:col>12</xdr:col>
      <xdr:colOff>0</xdr:colOff>
      <xdr:row>53</xdr:row>
      <xdr:rowOff>238125</xdr:rowOff>
    </xdr:to>
    <xdr:sp macro="" textlink="">
      <xdr:nvSpPr>
        <xdr:cNvPr id="5122" name="Line 7">
          <a:extLst>
            <a:ext uri="{FF2B5EF4-FFF2-40B4-BE49-F238E27FC236}">
              <a16:creationId xmlns:a16="http://schemas.microsoft.com/office/drawing/2014/main" id="{378660A2-2AFA-6CCE-ADFD-D75B12425911}"/>
            </a:ext>
          </a:extLst>
        </xdr:cNvPr>
        <xdr:cNvSpPr>
          <a:spLocks noChangeShapeType="1"/>
        </xdr:cNvSpPr>
      </xdr:nvSpPr>
      <xdr:spPr bwMode="auto">
        <a:xfrm>
          <a:off x="9382125" y="8943975"/>
          <a:ext cx="0" cy="489585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38</xdr:row>
      <xdr:rowOff>0</xdr:rowOff>
    </xdr:from>
    <xdr:to>
      <xdr:col>11</xdr:col>
      <xdr:colOff>295275</xdr:colOff>
      <xdr:row>38</xdr:row>
      <xdr:rowOff>0</xdr:rowOff>
    </xdr:to>
    <xdr:sp macro="" textlink="">
      <xdr:nvSpPr>
        <xdr:cNvPr id="5123" name="Line 8">
          <a:extLst>
            <a:ext uri="{FF2B5EF4-FFF2-40B4-BE49-F238E27FC236}">
              <a16:creationId xmlns:a16="http://schemas.microsoft.com/office/drawing/2014/main" id="{A4CDF2B8-3857-C8E2-C417-2A8759B7DC88}"/>
            </a:ext>
          </a:extLst>
        </xdr:cNvPr>
        <xdr:cNvSpPr>
          <a:spLocks noChangeShapeType="1"/>
        </xdr:cNvSpPr>
      </xdr:nvSpPr>
      <xdr:spPr bwMode="auto">
        <a:xfrm>
          <a:off x="9086850" y="98869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48</xdr:row>
      <xdr:rowOff>0</xdr:rowOff>
    </xdr:from>
    <xdr:to>
      <xdr:col>11</xdr:col>
      <xdr:colOff>304800</xdr:colOff>
      <xdr:row>48</xdr:row>
      <xdr:rowOff>0</xdr:rowOff>
    </xdr:to>
    <xdr:sp macro="" textlink="">
      <xdr:nvSpPr>
        <xdr:cNvPr id="5124" name="Line 9">
          <a:extLst>
            <a:ext uri="{FF2B5EF4-FFF2-40B4-BE49-F238E27FC236}">
              <a16:creationId xmlns:a16="http://schemas.microsoft.com/office/drawing/2014/main" id="{0F54C2CE-8F28-E388-DA7A-A78717A44175}"/>
            </a:ext>
          </a:extLst>
        </xdr:cNvPr>
        <xdr:cNvSpPr>
          <a:spLocks noChangeShapeType="1"/>
        </xdr:cNvSpPr>
      </xdr:nvSpPr>
      <xdr:spPr bwMode="auto">
        <a:xfrm>
          <a:off x="9096375" y="12363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809625</xdr:colOff>
      <xdr:row>54</xdr:row>
      <xdr:rowOff>0</xdr:rowOff>
    </xdr:from>
    <xdr:to>
      <xdr:col>11</xdr:col>
      <xdr:colOff>295275</xdr:colOff>
      <xdr:row>54</xdr:row>
      <xdr:rowOff>0</xdr:rowOff>
    </xdr:to>
    <xdr:sp macro="" textlink="">
      <xdr:nvSpPr>
        <xdr:cNvPr id="5125" name="Line 10">
          <a:extLst>
            <a:ext uri="{FF2B5EF4-FFF2-40B4-BE49-F238E27FC236}">
              <a16:creationId xmlns:a16="http://schemas.microsoft.com/office/drawing/2014/main" id="{3559427D-1CC8-23D4-419E-0B2E1269B51C}"/>
            </a:ext>
          </a:extLst>
        </xdr:cNvPr>
        <xdr:cNvSpPr>
          <a:spLocks noChangeShapeType="1"/>
        </xdr:cNvSpPr>
      </xdr:nvSpPr>
      <xdr:spPr bwMode="auto">
        <a:xfrm flipV="1">
          <a:off x="8239125" y="138493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35</xdr:row>
      <xdr:rowOff>0</xdr:rowOff>
    </xdr:from>
    <xdr:to>
      <xdr:col>11</xdr:col>
      <xdr:colOff>285750</xdr:colOff>
      <xdr:row>35</xdr:row>
      <xdr:rowOff>0</xdr:rowOff>
    </xdr:to>
    <xdr:sp macro="" textlink="">
      <xdr:nvSpPr>
        <xdr:cNvPr id="5126" name="Line 11">
          <a:extLst>
            <a:ext uri="{FF2B5EF4-FFF2-40B4-BE49-F238E27FC236}">
              <a16:creationId xmlns:a16="http://schemas.microsoft.com/office/drawing/2014/main" id="{BCB2F5B8-F00A-9A59-0915-64BFAD3E0A84}"/>
            </a:ext>
          </a:extLst>
        </xdr:cNvPr>
        <xdr:cNvSpPr>
          <a:spLocks noChangeShapeType="1"/>
        </xdr:cNvSpPr>
      </xdr:nvSpPr>
      <xdr:spPr bwMode="auto">
        <a:xfrm flipV="1">
          <a:off x="9086850" y="9144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62</xdr:row>
      <xdr:rowOff>104775</xdr:rowOff>
    </xdr:from>
    <xdr:to>
      <xdr:col>0</xdr:col>
      <xdr:colOff>714375</xdr:colOff>
      <xdr:row>62</xdr:row>
      <xdr:rowOff>104775</xdr:rowOff>
    </xdr:to>
    <xdr:sp macro="" textlink="">
      <xdr:nvSpPr>
        <xdr:cNvPr id="5127" name="Line 12">
          <a:extLst>
            <a:ext uri="{FF2B5EF4-FFF2-40B4-BE49-F238E27FC236}">
              <a16:creationId xmlns:a16="http://schemas.microsoft.com/office/drawing/2014/main" id="{2AFD6F32-2A94-656C-A339-66FC2D93D6B8}"/>
            </a:ext>
          </a:extLst>
        </xdr:cNvPr>
        <xdr:cNvSpPr>
          <a:spLocks noChangeShapeType="1"/>
        </xdr:cNvSpPr>
      </xdr:nvSpPr>
      <xdr:spPr bwMode="auto">
        <a:xfrm>
          <a:off x="47625" y="157448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65</xdr:row>
      <xdr:rowOff>114300</xdr:rowOff>
    </xdr:from>
    <xdr:to>
      <xdr:col>0</xdr:col>
      <xdr:colOff>714375</xdr:colOff>
      <xdr:row>65</xdr:row>
      <xdr:rowOff>114300</xdr:rowOff>
    </xdr:to>
    <xdr:sp macro="" textlink="">
      <xdr:nvSpPr>
        <xdr:cNvPr id="5128" name="Line 14">
          <a:extLst>
            <a:ext uri="{FF2B5EF4-FFF2-40B4-BE49-F238E27FC236}">
              <a16:creationId xmlns:a16="http://schemas.microsoft.com/office/drawing/2014/main" id="{BCB6A907-1F03-78D4-9858-FAD7759C6169}"/>
            </a:ext>
          </a:extLst>
        </xdr:cNvPr>
        <xdr:cNvSpPr>
          <a:spLocks noChangeShapeType="1"/>
        </xdr:cNvSpPr>
      </xdr:nvSpPr>
      <xdr:spPr bwMode="auto">
        <a:xfrm>
          <a:off x="66675" y="1640205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51</xdr:row>
      <xdr:rowOff>0</xdr:rowOff>
    </xdr:to>
    <xdr:sp macro="" textlink="">
      <xdr:nvSpPr>
        <xdr:cNvPr id="5129" name="Line 24">
          <a:extLst>
            <a:ext uri="{FF2B5EF4-FFF2-40B4-BE49-F238E27FC236}">
              <a16:creationId xmlns:a16="http://schemas.microsoft.com/office/drawing/2014/main" id="{4C0CFD59-EC92-5620-CD01-E185FECC2D9E}"/>
            </a:ext>
          </a:extLst>
        </xdr:cNvPr>
        <xdr:cNvSpPr>
          <a:spLocks noChangeShapeType="1"/>
        </xdr:cNvSpPr>
      </xdr:nvSpPr>
      <xdr:spPr bwMode="auto">
        <a:xfrm>
          <a:off x="9067800" y="1310640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5130" name="Line 40">
          <a:extLst>
            <a:ext uri="{FF2B5EF4-FFF2-40B4-BE49-F238E27FC236}">
              <a16:creationId xmlns:a16="http://schemas.microsoft.com/office/drawing/2014/main" id="{14E51119-1DF3-C8ED-3EE2-D45931A4092A}"/>
            </a:ext>
          </a:extLst>
        </xdr:cNvPr>
        <xdr:cNvSpPr>
          <a:spLocks noChangeShapeType="1"/>
        </xdr:cNvSpPr>
      </xdr:nvSpPr>
      <xdr:spPr bwMode="auto">
        <a:xfrm>
          <a:off x="9696450" y="914400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5131" name="Line 44">
          <a:extLst>
            <a:ext uri="{FF2B5EF4-FFF2-40B4-BE49-F238E27FC236}">
              <a16:creationId xmlns:a16="http://schemas.microsoft.com/office/drawing/2014/main" id="{51B87CB6-E949-E70F-E48B-DD6B9919D069}"/>
            </a:ext>
          </a:extLst>
        </xdr:cNvPr>
        <xdr:cNvSpPr>
          <a:spLocks noChangeShapeType="1"/>
        </xdr:cNvSpPr>
      </xdr:nvSpPr>
      <xdr:spPr bwMode="auto">
        <a:xfrm>
          <a:off x="9696450" y="1310640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51</xdr:row>
      <xdr:rowOff>0</xdr:rowOff>
    </xdr:from>
    <xdr:to>
      <xdr:col>13</xdr:col>
      <xdr:colOff>171450</xdr:colOff>
      <xdr:row>51</xdr:row>
      <xdr:rowOff>0</xdr:rowOff>
    </xdr:to>
    <xdr:sp macro="" textlink="">
      <xdr:nvSpPr>
        <xdr:cNvPr id="5132" name="Line 46">
          <a:extLst>
            <a:ext uri="{FF2B5EF4-FFF2-40B4-BE49-F238E27FC236}">
              <a16:creationId xmlns:a16="http://schemas.microsoft.com/office/drawing/2014/main" id="{1953578D-A234-750A-FA10-E66C44587EBF}"/>
            </a:ext>
          </a:extLst>
        </xdr:cNvPr>
        <xdr:cNvSpPr>
          <a:spLocks noChangeShapeType="1"/>
        </xdr:cNvSpPr>
      </xdr:nvSpPr>
      <xdr:spPr bwMode="auto">
        <a:xfrm flipV="1">
          <a:off x="9391650" y="1310640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54</xdr:row>
      <xdr:rowOff>0</xdr:rowOff>
    </xdr:from>
    <xdr:to>
      <xdr:col>13</xdr:col>
      <xdr:colOff>161925</xdr:colOff>
      <xdr:row>54</xdr:row>
      <xdr:rowOff>0</xdr:rowOff>
    </xdr:to>
    <xdr:sp macro="" textlink="">
      <xdr:nvSpPr>
        <xdr:cNvPr id="5133" name="Line 47">
          <a:extLst>
            <a:ext uri="{FF2B5EF4-FFF2-40B4-BE49-F238E27FC236}">
              <a16:creationId xmlns:a16="http://schemas.microsoft.com/office/drawing/2014/main" id="{A13B4AA5-F00A-0BE5-75E1-98FE1CC2BF0D}"/>
            </a:ext>
          </a:extLst>
        </xdr:cNvPr>
        <xdr:cNvSpPr>
          <a:spLocks noChangeShapeType="1"/>
        </xdr:cNvSpPr>
      </xdr:nvSpPr>
      <xdr:spPr bwMode="auto">
        <a:xfrm>
          <a:off x="9372600" y="138493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9525</xdr:rowOff>
    </xdr:from>
    <xdr:to>
      <xdr:col>13</xdr:col>
      <xdr:colOff>0</xdr:colOff>
      <xdr:row>51</xdr:row>
      <xdr:rowOff>9525</xdr:rowOff>
    </xdr:to>
    <xdr:sp macro="" textlink="">
      <xdr:nvSpPr>
        <xdr:cNvPr id="5134" name="Line 51">
          <a:extLst>
            <a:ext uri="{FF2B5EF4-FFF2-40B4-BE49-F238E27FC236}">
              <a16:creationId xmlns:a16="http://schemas.microsoft.com/office/drawing/2014/main" id="{362AD76C-CEC2-8130-3A73-BF1935FF732A}"/>
            </a:ext>
          </a:extLst>
        </xdr:cNvPr>
        <xdr:cNvSpPr>
          <a:spLocks noChangeShapeType="1"/>
        </xdr:cNvSpPr>
      </xdr:nvSpPr>
      <xdr:spPr bwMode="auto">
        <a:xfrm>
          <a:off x="9696450" y="1237297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35</xdr:row>
      <xdr:rowOff>0</xdr:rowOff>
    </xdr:from>
    <xdr:to>
      <xdr:col>13</xdr:col>
      <xdr:colOff>142875</xdr:colOff>
      <xdr:row>35</xdr:row>
      <xdr:rowOff>0</xdr:rowOff>
    </xdr:to>
    <xdr:sp macro="" textlink="">
      <xdr:nvSpPr>
        <xdr:cNvPr id="5135" name="Line 46">
          <a:extLst>
            <a:ext uri="{FF2B5EF4-FFF2-40B4-BE49-F238E27FC236}">
              <a16:creationId xmlns:a16="http://schemas.microsoft.com/office/drawing/2014/main" id="{C476A089-70F5-EE17-5AC8-58FBC0F791AE}"/>
            </a:ext>
          </a:extLst>
        </xdr:cNvPr>
        <xdr:cNvSpPr>
          <a:spLocks noChangeShapeType="1"/>
        </xdr:cNvSpPr>
      </xdr:nvSpPr>
      <xdr:spPr bwMode="auto">
        <a:xfrm flipV="1">
          <a:off x="9372600" y="91440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38</xdr:row>
      <xdr:rowOff>0</xdr:rowOff>
    </xdr:from>
    <xdr:to>
      <xdr:col>13</xdr:col>
      <xdr:colOff>142875</xdr:colOff>
      <xdr:row>38</xdr:row>
      <xdr:rowOff>0</xdr:rowOff>
    </xdr:to>
    <xdr:sp macro="" textlink="">
      <xdr:nvSpPr>
        <xdr:cNvPr id="5136" name="Line 46">
          <a:extLst>
            <a:ext uri="{FF2B5EF4-FFF2-40B4-BE49-F238E27FC236}">
              <a16:creationId xmlns:a16="http://schemas.microsoft.com/office/drawing/2014/main" id="{900D1238-0966-1C43-0A12-08D05146483F}"/>
            </a:ext>
          </a:extLst>
        </xdr:cNvPr>
        <xdr:cNvSpPr>
          <a:spLocks noChangeShapeType="1"/>
        </xdr:cNvSpPr>
      </xdr:nvSpPr>
      <xdr:spPr bwMode="auto">
        <a:xfrm flipV="1">
          <a:off x="9372600" y="98869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48</xdr:row>
      <xdr:rowOff>0</xdr:rowOff>
    </xdr:from>
    <xdr:to>
      <xdr:col>13</xdr:col>
      <xdr:colOff>152400</xdr:colOff>
      <xdr:row>48</xdr:row>
      <xdr:rowOff>0</xdr:rowOff>
    </xdr:to>
    <xdr:sp macro="" textlink="">
      <xdr:nvSpPr>
        <xdr:cNvPr id="5137" name="Line 46">
          <a:extLst>
            <a:ext uri="{FF2B5EF4-FFF2-40B4-BE49-F238E27FC236}">
              <a16:creationId xmlns:a16="http://schemas.microsoft.com/office/drawing/2014/main" id="{0E7EEF85-936F-72FE-AF4F-465D429D4708}"/>
            </a:ext>
          </a:extLst>
        </xdr:cNvPr>
        <xdr:cNvSpPr>
          <a:spLocks noChangeShapeType="1"/>
        </xdr:cNvSpPr>
      </xdr:nvSpPr>
      <xdr:spPr bwMode="auto">
        <a:xfrm flipV="1">
          <a:off x="9401175" y="123634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123825</xdr:colOff>
      <xdr:row>0</xdr:row>
      <xdr:rowOff>47625</xdr:rowOff>
    </xdr:from>
    <xdr:to>
      <xdr:col>13</xdr:col>
      <xdr:colOff>133350</xdr:colOff>
      <xdr:row>1</xdr:row>
      <xdr:rowOff>304800</xdr:rowOff>
    </xdr:to>
    <xdr:pic>
      <xdr:nvPicPr>
        <xdr:cNvPr id="5138" name="Picture 4">
          <a:extLst>
            <a:ext uri="{FF2B5EF4-FFF2-40B4-BE49-F238E27FC236}">
              <a16:creationId xmlns:a16="http://schemas.microsoft.com/office/drawing/2014/main" id="{0694B7CF-6676-19E6-2412-80FE78278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152400</xdr:rowOff>
    </xdr:from>
    <xdr:to>
      <xdr:col>0</xdr:col>
      <xdr:colOff>790575</xdr:colOff>
      <xdr:row>1</xdr:row>
      <xdr:rowOff>228600</xdr:rowOff>
    </xdr:to>
    <xdr:pic>
      <xdr:nvPicPr>
        <xdr:cNvPr id="5139" name="Picture 37">
          <a:extLst>
            <a:ext uri="{FF2B5EF4-FFF2-40B4-BE49-F238E27FC236}">
              <a16:creationId xmlns:a16="http://schemas.microsoft.com/office/drawing/2014/main" id="{79ED9CCE-64A5-AB4E-0F7C-D19AC221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52400"/>
          <a:ext cx="723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2</xdr:row>
      <xdr:rowOff>142875</xdr:rowOff>
    </xdr:from>
    <xdr:to>
      <xdr:col>13</xdr:col>
      <xdr:colOff>190500</xdr:colOff>
      <xdr:row>14</xdr:row>
      <xdr:rowOff>133350</xdr:rowOff>
    </xdr:to>
    <xdr:pic>
      <xdr:nvPicPr>
        <xdr:cNvPr id="5140" name="Picture 24">
          <a:extLst>
            <a:ext uri="{FF2B5EF4-FFF2-40B4-BE49-F238E27FC236}">
              <a16:creationId xmlns:a16="http://schemas.microsoft.com/office/drawing/2014/main" id="{771FDA02-DCBA-EA57-D0B3-C326D16A9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904875"/>
          <a:ext cx="4800600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38</xdr:row>
      <xdr:rowOff>19050</xdr:rowOff>
    </xdr:from>
    <xdr:to>
      <xdr:col>13</xdr:col>
      <xdr:colOff>0</xdr:colOff>
      <xdr:row>48</xdr:row>
      <xdr:rowOff>9525</xdr:rowOff>
    </xdr:to>
    <xdr:sp macro="" textlink="">
      <xdr:nvSpPr>
        <xdr:cNvPr id="5141" name="Line 95">
          <a:extLst>
            <a:ext uri="{FF2B5EF4-FFF2-40B4-BE49-F238E27FC236}">
              <a16:creationId xmlns:a16="http://schemas.microsoft.com/office/drawing/2014/main" id="{C832DEC3-D66D-E47F-EDEF-E01DEBD384EA}"/>
            </a:ext>
          </a:extLst>
        </xdr:cNvPr>
        <xdr:cNvSpPr>
          <a:spLocks noChangeShapeType="1"/>
        </xdr:cNvSpPr>
      </xdr:nvSpPr>
      <xdr:spPr bwMode="auto">
        <a:xfrm>
          <a:off x="9696450" y="9906000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695325</xdr:colOff>
      <xdr:row>60</xdr:row>
      <xdr:rowOff>0</xdr:rowOff>
    </xdr:from>
    <xdr:to>
      <xdr:col>4</xdr:col>
      <xdr:colOff>790575</xdr:colOff>
      <xdr:row>60</xdr:row>
      <xdr:rowOff>0</xdr:rowOff>
    </xdr:to>
    <xdr:sp macro="" textlink="">
      <xdr:nvSpPr>
        <xdr:cNvPr id="5142" name="AutoShape 55">
          <a:extLst>
            <a:ext uri="{FF2B5EF4-FFF2-40B4-BE49-F238E27FC236}">
              <a16:creationId xmlns:a16="http://schemas.microsoft.com/office/drawing/2014/main" id="{7F17C57C-7D66-B67F-D587-E51257B323CD}"/>
            </a:ext>
          </a:extLst>
        </xdr:cNvPr>
        <xdr:cNvSpPr>
          <a:spLocks noChangeArrowheads="1"/>
        </xdr:cNvSpPr>
      </xdr:nvSpPr>
      <xdr:spPr bwMode="auto">
        <a:xfrm>
          <a:off x="4029075" y="15240000"/>
          <a:ext cx="95250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6145" name="Freeform 1">
          <a:extLst>
            <a:ext uri="{FF2B5EF4-FFF2-40B4-BE49-F238E27FC236}">
              <a16:creationId xmlns:a16="http://schemas.microsoft.com/office/drawing/2014/main" id="{EC5A35A4-5A63-80E7-2670-AC8C32C7EB28}"/>
            </a:ext>
          </a:extLst>
        </xdr:cNvPr>
        <xdr:cNvSpPr>
          <a:spLocks/>
        </xdr:cNvSpPr>
      </xdr:nvSpPr>
      <xdr:spPr bwMode="auto">
        <a:xfrm>
          <a:off x="333375" y="222885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9525</xdr:rowOff>
    </xdr:from>
    <xdr:to>
      <xdr:col>12</xdr:col>
      <xdr:colOff>0</xdr:colOff>
      <xdr:row>54</xdr:row>
      <xdr:rowOff>0</xdr:rowOff>
    </xdr:to>
    <xdr:sp macro="" textlink="">
      <xdr:nvSpPr>
        <xdr:cNvPr id="6146" name="Line 7">
          <a:extLst>
            <a:ext uri="{FF2B5EF4-FFF2-40B4-BE49-F238E27FC236}">
              <a16:creationId xmlns:a16="http://schemas.microsoft.com/office/drawing/2014/main" id="{7ADA9E00-C5DE-F693-D5A1-7568AB10E468}"/>
            </a:ext>
          </a:extLst>
        </xdr:cNvPr>
        <xdr:cNvSpPr>
          <a:spLocks noChangeShapeType="1"/>
        </xdr:cNvSpPr>
      </xdr:nvSpPr>
      <xdr:spPr bwMode="auto">
        <a:xfrm>
          <a:off x="9324975" y="871537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37</xdr:row>
      <xdr:rowOff>0</xdr:rowOff>
    </xdr:from>
    <xdr:to>
      <xdr:col>11</xdr:col>
      <xdr:colOff>295275</xdr:colOff>
      <xdr:row>37</xdr:row>
      <xdr:rowOff>0</xdr:rowOff>
    </xdr:to>
    <xdr:sp macro="" textlink="">
      <xdr:nvSpPr>
        <xdr:cNvPr id="6147" name="Line 8">
          <a:extLst>
            <a:ext uri="{FF2B5EF4-FFF2-40B4-BE49-F238E27FC236}">
              <a16:creationId xmlns:a16="http://schemas.microsoft.com/office/drawing/2014/main" id="{14078D6B-6951-D02A-6AB9-D66EE493907C}"/>
            </a:ext>
          </a:extLst>
        </xdr:cNvPr>
        <xdr:cNvSpPr>
          <a:spLocks noChangeShapeType="1"/>
        </xdr:cNvSpPr>
      </xdr:nvSpPr>
      <xdr:spPr bwMode="auto">
        <a:xfrm>
          <a:off x="9029700" y="9696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6148" name="Line 9">
          <a:extLst>
            <a:ext uri="{FF2B5EF4-FFF2-40B4-BE49-F238E27FC236}">
              <a16:creationId xmlns:a16="http://schemas.microsoft.com/office/drawing/2014/main" id="{E64B45D1-A027-C15E-D4F3-492BD460DF68}"/>
            </a:ext>
          </a:extLst>
        </xdr:cNvPr>
        <xdr:cNvSpPr>
          <a:spLocks noChangeShapeType="1"/>
        </xdr:cNvSpPr>
      </xdr:nvSpPr>
      <xdr:spPr bwMode="auto">
        <a:xfrm>
          <a:off x="9048750" y="114300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809625</xdr:colOff>
      <xdr:row>54</xdr:row>
      <xdr:rowOff>0</xdr:rowOff>
    </xdr:from>
    <xdr:to>
      <xdr:col>11</xdr:col>
      <xdr:colOff>295275</xdr:colOff>
      <xdr:row>54</xdr:row>
      <xdr:rowOff>0</xdr:rowOff>
    </xdr:to>
    <xdr:sp macro="" textlink="">
      <xdr:nvSpPr>
        <xdr:cNvPr id="6149" name="Line 10">
          <a:extLst>
            <a:ext uri="{FF2B5EF4-FFF2-40B4-BE49-F238E27FC236}">
              <a16:creationId xmlns:a16="http://schemas.microsoft.com/office/drawing/2014/main" id="{F4843211-1281-7436-F9D6-52A29DAE619E}"/>
            </a:ext>
          </a:extLst>
        </xdr:cNvPr>
        <xdr:cNvSpPr>
          <a:spLocks noChangeShapeType="1"/>
        </xdr:cNvSpPr>
      </xdr:nvSpPr>
      <xdr:spPr bwMode="auto">
        <a:xfrm flipV="1">
          <a:off x="8181975" y="139065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34</xdr:row>
      <xdr:rowOff>0</xdr:rowOff>
    </xdr:from>
    <xdr:to>
      <xdr:col>11</xdr:col>
      <xdr:colOff>285750</xdr:colOff>
      <xdr:row>34</xdr:row>
      <xdr:rowOff>0</xdr:rowOff>
    </xdr:to>
    <xdr:sp macro="" textlink="">
      <xdr:nvSpPr>
        <xdr:cNvPr id="6150" name="Line 11">
          <a:extLst>
            <a:ext uri="{FF2B5EF4-FFF2-40B4-BE49-F238E27FC236}">
              <a16:creationId xmlns:a16="http://schemas.microsoft.com/office/drawing/2014/main" id="{6678426D-7684-EF57-C59F-79C574E1EA5B}"/>
            </a:ext>
          </a:extLst>
        </xdr:cNvPr>
        <xdr:cNvSpPr>
          <a:spLocks noChangeShapeType="1"/>
        </xdr:cNvSpPr>
      </xdr:nvSpPr>
      <xdr:spPr bwMode="auto">
        <a:xfrm flipV="1">
          <a:off x="9029700" y="89535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62</xdr:row>
      <xdr:rowOff>104775</xdr:rowOff>
    </xdr:from>
    <xdr:to>
      <xdr:col>0</xdr:col>
      <xdr:colOff>714375</xdr:colOff>
      <xdr:row>62</xdr:row>
      <xdr:rowOff>104775</xdr:rowOff>
    </xdr:to>
    <xdr:sp macro="" textlink="">
      <xdr:nvSpPr>
        <xdr:cNvPr id="6151" name="Line 12">
          <a:extLst>
            <a:ext uri="{FF2B5EF4-FFF2-40B4-BE49-F238E27FC236}">
              <a16:creationId xmlns:a16="http://schemas.microsoft.com/office/drawing/2014/main" id="{8D1F07AF-E302-A3DB-1360-982847ABDF50}"/>
            </a:ext>
          </a:extLst>
        </xdr:cNvPr>
        <xdr:cNvSpPr>
          <a:spLocks noChangeShapeType="1"/>
        </xdr:cNvSpPr>
      </xdr:nvSpPr>
      <xdr:spPr bwMode="auto">
        <a:xfrm>
          <a:off x="47625" y="158781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65</xdr:row>
      <xdr:rowOff>114300</xdr:rowOff>
    </xdr:from>
    <xdr:to>
      <xdr:col>0</xdr:col>
      <xdr:colOff>714375</xdr:colOff>
      <xdr:row>65</xdr:row>
      <xdr:rowOff>114300</xdr:rowOff>
    </xdr:to>
    <xdr:sp macro="" textlink="">
      <xdr:nvSpPr>
        <xdr:cNvPr id="6152" name="Line 14">
          <a:extLst>
            <a:ext uri="{FF2B5EF4-FFF2-40B4-BE49-F238E27FC236}">
              <a16:creationId xmlns:a16="http://schemas.microsoft.com/office/drawing/2014/main" id="{A9551863-03B2-8998-8F1A-C6EF4A6BF256}"/>
            </a:ext>
          </a:extLst>
        </xdr:cNvPr>
        <xdr:cNvSpPr>
          <a:spLocks noChangeShapeType="1"/>
        </xdr:cNvSpPr>
      </xdr:nvSpPr>
      <xdr:spPr bwMode="auto">
        <a:xfrm>
          <a:off x="66675" y="1657350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51</xdr:row>
      <xdr:rowOff>0</xdr:rowOff>
    </xdr:to>
    <xdr:sp macro="" textlink="">
      <xdr:nvSpPr>
        <xdr:cNvPr id="6153" name="Line 24">
          <a:extLst>
            <a:ext uri="{FF2B5EF4-FFF2-40B4-BE49-F238E27FC236}">
              <a16:creationId xmlns:a16="http://schemas.microsoft.com/office/drawing/2014/main" id="{1C6CEF1C-F684-1EFD-2D4B-85F4A252B108}"/>
            </a:ext>
          </a:extLst>
        </xdr:cNvPr>
        <xdr:cNvSpPr>
          <a:spLocks noChangeShapeType="1"/>
        </xdr:cNvSpPr>
      </xdr:nvSpPr>
      <xdr:spPr bwMode="auto">
        <a:xfrm>
          <a:off x="9010650" y="1316355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34</xdr:row>
      <xdr:rowOff>0</xdr:rowOff>
    </xdr:from>
    <xdr:to>
      <xdr:col>13</xdr:col>
      <xdr:colOff>0</xdr:colOff>
      <xdr:row>37</xdr:row>
      <xdr:rowOff>9525</xdr:rowOff>
    </xdr:to>
    <xdr:sp macro="" textlink="">
      <xdr:nvSpPr>
        <xdr:cNvPr id="6154" name="Line 40">
          <a:extLst>
            <a:ext uri="{FF2B5EF4-FFF2-40B4-BE49-F238E27FC236}">
              <a16:creationId xmlns:a16="http://schemas.microsoft.com/office/drawing/2014/main" id="{AFB00E47-E3C7-4DF7-5685-145601D569F7}"/>
            </a:ext>
          </a:extLst>
        </xdr:cNvPr>
        <xdr:cNvSpPr>
          <a:spLocks noChangeShapeType="1"/>
        </xdr:cNvSpPr>
      </xdr:nvSpPr>
      <xdr:spPr bwMode="auto">
        <a:xfrm>
          <a:off x="9639300" y="89535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6155" name="Line 44">
          <a:extLst>
            <a:ext uri="{FF2B5EF4-FFF2-40B4-BE49-F238E27FC236}">
              <a16:creationId xmlns:a16="http://schemas.microsoft.com/office/drawing/2014/main" id="{51B37D8F-A4B1-13E2-AD4E-4C5E05F55FEC}"/>
            </a:ext>
          </a:extLst>
        </xdr:cNvPr>
        <xdr:cNvSpPr>
          <a:spLocks noChangeShapeType="1"/>
        </xdr:cNvSpPr>
      </xdr:nvSpPr>
      <xdr:spPr bwMode="auto">
        <a:xfrm flipH="1">
          <a:off x="9639300" y="1316355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51</xdr:row>
      <xdr:rowOff>0</xdr:rowOff>
    </xdr:from>
    <xdr:to>
      <xdr:col>13</xdr:col>
      <xdr:colOff>171450</xdr:colOff>
      <xdr:row>51</xdr:row>
      <xdr:rowOff>0</xdr:rowOff>
    </xdr:to>
    <xdr:sp macro="" textlink="">
      <xdr:nvSpPr>
        <xdr:cNvPr id="6156" name="Line 46">
          <a:extLst>
            <a:ext uri="{FF2B5EF4-FFF2-40B4-BE49-F238E27FC236}">
              <a16:creationId xmlns:a16="http://schemas.microsoft.com/office/drawing/2014/main" id="{BA30F109-E181-FDF9-139B-031F990F0F83}"/>
            </a:ext>
          </a:extLst>
        </xdr:cNvPr>
        <xdr:cNvSpPr>
          <a:spLocks noChangeShapeType="1"/>
        </xdr:cNvSpPr>
      </xdr:nvSpPr>
      <xdr:spPr bwMode="auto">
        <a:xfrm flipV="1">
          <a:off x="9344025" y="1316355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54</xdr:row>
      <xdr:rowOff>0</xdr:rowOff>
    </xdr:from>
    <xdr:to>
      <xdr:col>13</xdr:col>
      <xdr:colOff>180975</xdr:colOff>
      <xdr:row>54</xdr:row>
      <xdr:rowOff>0</xdr:rowOff>
    </xdr:to>
    <xdr:sp macro="" textlink="">
      <xdr:nvSpPr>
        <xdr:cNvPr id="6157" name="Line 47">
          <a:extLst>
            <a:ext uri="{FF2B5EF4-FFF2-40B4-BE49-F238E27FC236}">
              <a16:creationId xmlns:a16="http://schemas.microsoft.com/office/drawing/2014/main" id="{12CCA00B-C569-9664-474D-A77BD61323A3}"/>
            </a:ext>
          </a:extLst>
        </xdr:cNvPr>
        <xdr:cNvSpPr>
          <a:spLocks noChangeShapeType="1"/>
        </xdr:cNvSpPr>
      </xdr:nvSpPr>
      <xdr:spPr bwMode="auto">
        <a:xfrm>
          <a:off x="9324975" y="139065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6158" name="Line 51">
          <a:extLst>
            <a:ext uri="{FF2B5EF4-FFF2-40B4-BE49-F238E27FC236}">
              <a16:creationId xmlns:a16="http://schemas.microsoft.com/office/drawing/2014/main" id="{1C659BE8-A15F-0E70-9FB2-4456BDB6314A}"/>
            </a:ext>
          </a:extLst>
        </xdr:cNvPr>
        <xdr:cNvSpPr>
          <a:spLocks noChangeShapeType="1"/>
        </xdr:cNvSpPr>
      </xdr:nvSpPr>
      <xdr:spPr bwMode="auto">
        <a:xfrm flipH="1">
          <a:off x="9639300" y="11430000"/>
          <a:ext cx="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34</xdr:row>
      <xdr:rowOff>0</xdr:rowOff>
    </xdr:from>
    <xdr:to>
      <xdr:col>13</xdr:col>
      <xdr:colOff>171450</xdr:colOff>
      <xdr:row>34</xdr:row>
      <xdr:rowOff>0</xdr:rowOff>
    </xdr:to>
    <xdr:sp macro="" textlink="">
      <xdr:nvSpPr>
        <xdr:cNvPr id="6159" name="Line 46">
          <a:extLst>
            <a:ext uri="{FF2B5EF4-FFF2-40B4-BE49-F238E27FC236}">
              <a16:creationId xmlns:a16="http://schemas.microsoft.com/office/drawing/2014/main" id="{860EFDF7-72BA-554F-F100-7939CA6E4906}"/>
            </a:ext>
          </a:extLst>
        </xdr:cNvPr>
        <xdr:cNvSpPr>
          <a:spLocks noChangeShapeType="1"/>
        </xdr:cNvSpPr>
      </xdr:nvSpPr>
      <xdr:spPr bwMode="auto">
        <a:xfrm flipV="1">
          <a:off x="9315450" y="89535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37</xdr:row>
      <xdr:rowOff>0</xdr:rowOff>
    </xdr:from>
    <xdr:to>
      <xdr:col>13</xdr:col>
      <xdr:colOff>171450</xdr:colOff>
      <xdr:row>37</xdr:row>
      <xdr:rowOff>0</xdr:rowOff>
    </xdr:to>
    <xdr:sp macro="" textlink="">
      <xdr:nvSpPr>
        <xdr:cNvPr id="6160" name="Line 46">
          <a:extLst>
            <a:ext uri="{FF2B5EF4-FFF2-40B4-BE49-F238E27FC236}">
              <a16:creationId xmlns:a16="http://schemas.microsoft.com/office/drawing/2014/main" id="{0E34070B-46A5-1A00-FEF3-B4103FB664D6}"/>
            </a:ext>
          </a:extLst>
        </xdr:cNvPr>
        <xdr:cNvSpPr>
          <a:spLocks noChangeShapeType="1"/>
        </xdr:cNvSpPr>
      </xdr:nvSpPr>
      <xdr:spPr bwMode="auto">
        <a:xfrm flipV="1">
          <a:off x="9315450" y="969645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44</xdr:row>
      <xdr:rowOff>0</xdr:rowOff>
    </xdr:from>
    <xdr:to>
      <xdr:col>13</xdr:col>
      <xdr:colOff>200025</xdr:colOff>
      <xdr:row>44</xdr:row>
      <xdr:rowOff>0</xdr:rowOff>
    </xdr:to>
    <xdr:sp macro="" textlink="">
      <xdr:nvSpPr>
        <xdr:cNvPr id="6161" name="Line 46">
          <a:extLst>
            <a:ext uri="{FF2B5EF4-FFF2-40B4-BE49-F238E27FC236}">
              <a16:creationId xmlns:a16="http://schemas.microsoft.com/office/drawing/2014/main" id="{3E2912F4-B2EA-614A-36D8-AFB0A0AD7178}"/>
            </a:ext>
          </a:extLst>
        </xdr:cNvPr>
        <xdr:cNvSpPr>
          <a:spLocks noChangeShapeType="1"/>
        </xdr:cNvSpPr>
      </xdr:nvSpPr>
      <xdr:spPr bwMode="auto">
        <a:xfrm flipV="1">
          <a:off x="9324975" y="11430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123825</xdr:colOff>
      <xdr:row>0</xdr:row>
      <xdr:rowOff>47625</xdr:rowOff>
    </xdr:from>
    <xdr:to>
      <xdr:col>13</xdr:col>
      <xdr:colOff>133350</xdr:colOff>
      <xdr:row>1</xdr:row>
      <xdr:rowOff>304800</xdr:rowOff>
    </xdr:to>
    <xdr:pic>
      <xdr:nvPicPr>
        <xdr:cNvPr id="6162" name="Picture 4">
          <a:extLst>
            <a:ext uri="{FF2B5EF4-FFF2-40B4-BE49-F238E27FC236}">
              <a16:creationId xmlns:a16="http://schemas.microsoft.com/office/drawing/2014/main" id="{9384F605-B360-E9B3-76ED-1CB8B993C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180975</xdr:rowOff>
    </xdr:from>
    <xdr:to>
      <xdr:col>0</xdr:col>
      <xdr:colOff>762000</xdr:colOff>
      <xdr:row>1</xdr:row>
      <xdr:rowOff>228600</xdr:rowOff>
    </xdr:to>
    <xdr:pic>
      <xdr:nvPicPr>
        <xdr:cNvPr id="6163" name="Picture 26">
          <a:extLst>
            <a:ext uri="{FF2B5EF4-FFF2-40B4-BE49-F238E27FC236}">
              <a16:creationId xmlns:a16="http://schemas.microsoft.com/office/drawing/2014/main" id="{50B78BAF-4536-8F65-7461-7FB60A6E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0975"/>
          <a:ext cx="7143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6164" name="Line 51">
          <a:extLst>
            <a:ext uri="{FF2B5EF4-FFF2-40B4-BE49-F238E27FC236}">
              <a16:creationId xmlns:a16="http://schemas.microsoft.com/office/drawing/2014/main" id="{E2B18742-498B-B25D-E9A1-0BE82356C3BB}"/>
            </a:ext>
          </a:extLst>
        </xdr:cNvPr>
        <xdr:cNvSpPr>
          <a:spLocks noChangeShapeType="1"/>
        </xdr:cNvSpPr>
      </xdr:nvSpPr>
      <xdr:spPr bwMode="auto">
        <a:xfrm flipH="1">
          <a:off x="9639300" y="9696450"/>
          <a:ext cx="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533400</xdr:colOff>
      <xdr:row>3</xdr:row>
      <xdr:rowOff>38100</xdr:rowOff>
    </xdr:from>
    <xdr:to>
      <xdr:col>13</xdr:col>
      <xdr:colOff>171450</xdr:colOff>
      <xdr:row>13</xdr:row>
      <xdr:rowOff>133350</xdr:rowOff>
    </xdr:to>
    <xdr:pic>
      <xdr:nvPicPr>
        <xdr:cNvPr id="6165" name="Picture 24">
          <a:extLst>
            <a:ext uri="{FF2B5EF4-FFF2-40B4-BE49-F238E27FC236}">
              <a16:creationId xmlns:a16="http://schemas.microsoft.com/office/drawing/2014/main" id="{3CB946F8-1FCB-4754-6F95-9489CF6B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990600"/>
          <a:ext cx="436245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7169" name="Freeform 1">
          <a:extLst>
            <a:ext uri="{FF2B5EF4-FFF2-40B4-BE49-F238E27FC236}">
              <a16:creationId xmlns:a16="http://schemas.microsoft.com/office/drawing/2014/main" id="{A54BBB9F-DB69-69B1-0AE9-4D78FCB6FC40}"/>
            </a:ext>
          </a:extLst>
        </xdr:cNvPr>
        <xdr:cNvSpPr>
          <a:spLocks/>
        </xdr:cNvSpPr>
      </xdr:nvSpPr>
      <xdr:spPr bwMode="auto">
        <a:xfrm>
          <a:off x="333375" y="2228850"/>
          <a:ext cx="76200" cy="95250"/>
        </a:xfrm>
        <a:custGeom>
          <a:avLst/>
          <a:gdLst>
            <a:gd name="T0" fmla="*/ 0 w 16"/>
            <a:gd name="T1" fmla="*/ 2147483646 h 19"/>
            <a:gd name="T2" fmla="*/ 2147483646 w 16"/>
            <a:gd name="T3" fmla="*/ 2147483646 h 19"/>
            <a:gd name="T4" fmla="*/ 2147483646 w 16"/>
            <a:gd name="T5" fmla="*/ 2147483646 h 19"/>
            <a:gd name="T6" fmla="*/ 2147483646 w 16"/>
            <a:gd name="T7" fmla="*/ 2147483646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9525</xdr:rowOff>
    </xdr:from>
    <xdr:to>
      <xdr:col>12</xdr:col>
      <xdr:colOff>0</xdr:colOff>
      <xdr:row>54</xdr:row>
      <xdr:rowOff>0</xdr:rowOff>
    </xdr:to>
    <xdr:sp macro="" textlink="">
      <xdr:nvSpPr>
        <xdr:cNvPr id="7170" name="Line 7">
          <a:extLst>
            <a:ext uri="{FF2B5EF4-FFF2-40B4-BE49-F238E27FC236}">
              <a16:creationId xmlns:a16="http://schemas.microsoft.com/office/drawing/2014/main" id="{1FBA9FBE-EFE7-6D92-2482-64228A794853}"/>
            </a:ext>
          </a:extLst>
        </xdr:cNvPr>
        <xdr:cNvSpPr>
          <a:spLocks noChangeShapeType="1"/>
        </xdr:cNvSpPr>
      </xdr:nvSpPr>
      <xdr:spPr bwMode="auto">
        <a:xfrm>
          <a:off x="8772525" y="8905875"/>
          <a:ext cx="0" cy="4943475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9525</xdr:colOff>
      <xdr:row>38</xdr:row>
      <xdr:rowOff>0</xdr:rowOff>
    </xdr:to>
    <xdr:sp macro="" textlink="">
      <xdr:nvSpPr>
        <xdr:cNvPr id="7171" name="Line 8">
          <a:extLst>
            <a:ext uri="{FF2B5EF4-FFF2-40B4-BE49-F238E27FC236}">
              <a16:creationId xmlns:a16="http://schemas.microsoft.com/office/drawing/2014/main" id="{7C6C8979-9D73-6F54-9252-2E0381DD6A7D}"/>
            </a:ext>
          </a:extLst>
        </xdr:cNvPr>
        <xdr:cNvSpPr>
          <a:spLocks noChangeShapeType="1"/>
        </xdr:cNvSpPr>
      </xdr:nvSpPr>
      <xdr:spPr bwMode="auto">
        <a:xfrm>
          <a:off x="8524875" y="98869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7172" name="Line 9">
          <a:extLst>
            <a:ext uri="{FF2B5EF4-FFF2-40B4-BE49-F238E27FC236}">
              <a16:creationId xmlns:a16="http://schemas.microsoft.com/office/drawing/2014/main" id="{2C90D46A-9E74-69C9-CCD3-D92EABD208DC}"/>
            </a:ext>
          </a:extLst>
        </xdr:cNvPr>
        <xdr:cNvSpPr>
          <a:spLocks noChangeShapeType="1"/>
        </xdr:cNvSpPr>
      </xdr:nvSpPr>
      <xdr:spPr bwMode="auto">
        <a:xfrm>
          <a:off x="8524875" y="123634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54</xdr:row>
      <xdr:rowOff>0</xdr:rowOff>
    </xdr:from>
    <xdr:to>
      <xdr:col>12</xdr:col>
      <xdr:colOff>9525</xdr:colOff>
      <xdr:row>54</xdr:row>
      <xdr:rowOff>0</xdr:rowOff>
    </xdr:to>
    <xdr:sp macro="" textlink="">
      <xdr:nvSpPr>
        <xdr:cNvPr id="7173" name="Line 10">
          <a:extLst>
            <a:ext uri="{FF2B5EF4-FFF2-40B4-BE49-F238E27FC236}">
              <a16:creationId xmlns:a16="http://schemas.microsoft.com/office/drawing/2014/main" id="{C3F5CB44-9130-D5F8-2EEA-F4388A32E8E5}"/>
            </a:ext>
          </a:extLst>
        </xdr:cNvPr>
        <xdr:cNvSpPr>
          <a:spLocks noChangeShapeType="1"/>
        </xdr:cNvSpPr>
      </xdr:nvSpPr>
      <xdr:spPr bwMode="auto">
        <a:xfrm>
          <a:off x="8553450" y="138493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7174" name="Line 11">
          <a:extLst>
            <a:ext uri="{FF2B5EF4-FFF2-40B4-BE49-F238E27FC236}">
              <a16:creationId xmlns:a16="http://schemas.microsoft.com/office/drawing/2014/main" id="{78E8AFF1-A83C-20DD-9C2C-7AFFECC6B3F1}"/>
            </a:ext>
          </a:extLst>
        </xdr:cNvPr>
        <xdr:cNvSpPr>
          <a:spLocks noChangeShapeType="1"/>
        </xdr:cNvSpPr>
      </xdr:nvSpPr>
      <xdr:spPr bwMode="auto">
        <a:xfrm>
          <a:off x="8524875" y="91440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62</xdr:row>
      <xdr:rowOff>123825</xdr:rowOff>
    </xdr:from>
    <xdr:to>
      <xdr:col>1</xdr:col>
      <xdr:colOff>0</xdr:colOff>
      <xdr:row>62</xdr:row>
      <xdr:rowOff>123825</xdr:rowOff>
    </xdr:to>
    <xdr:sp macro="" textlink="">
      <xdr:nvSpPr>
        <xdr:cNvPr id="7175" name="Line 12">
          <a:extLst>
            <a:ext uri="{FF2B5EF4-FFF2-40B4-BE49-F238E27FC236}">
              <a16:creationId xmlns:a16="http://schemas.microsoft.com/office/drawing/2014/main" id="{A7499EEC-AEE8-7253-652D-662EFD85A3E7}"/>
            </a:ext>
          </a:extLst>
        </xdr:cNvPr>
        <xdr:cNvSpPr>
          <a:spLocks noChangeShapeType="1"/>
        </xdr:cNvSpPr>
      </xdr:nvSpPr>
      <xdr:spPr bwMode="auto">
        <a:xfrm>
          <a:off x="47625" y="158400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65</xdr:row>
      <xdr:rowOff>123825</xdr:rowOff>
    </xdr:from>
    <xdr:to>
      <xdr:col>1</xdr:col>
      <xdr:colOff>0</xdr:colOff>
      <xdr:row>65</xdr:row>
      <xdr:rowOff>123825</xdr:rowOff>
    </xdr:to>
    <xdr:sp macro="" textlink="">
      <xdr:nvSpPr>
        <xdr:cNvPr id="7176" name="Line 13">
          <a:extLst>
            <a:ext uri="{FF2B5EF4-FFF2-40B4-BE49-F238E27FC236}">
              <a16:creationId xmlns:a16="http://schemas.microsoft.com/office/drawing/2014/main" id="{6B6E36A6-88AC-76F1-39A7-2C079EE8EF0E}"/>
            </a:ext>
          </a:extLst>
        </xdr:cNvPr>
        <xdr:cNvSpPr>
          <a:spLocks noChangeShapeType="1"/>
        </xdr:cNvSpPr>
      </xdr:nvSpPr>
      <xdr:spPr bwMode="auto">
        <a:xfrm>
          <a:off x="66675" y="165258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34</xdr:row>
      <xdr:rowOff>257175</xdr:rowOff>
    </xdr:from>
    <xdr:to>
      <xdr:col>13</xdr:col>
      <xdr:colOff>0</xdr:colOff>
      <xdr:row>38</xdr:row>
      <xdr:rowOff>0</xdr:rowOff>
    </xdr:to>
    <xdr:sp macro="" textlink="">
      <xdr:nvSpPr>
        <xdr:cNvPr id="7177" name="Line 92">
          <a:extLst>
            <a:ext uri="{FF2B5EF4-FFF2-40B4-BE49-F238E27FC236}">
              <a16:creationId xmlns:a16="http://schemas.microsoft.com/office/drawing/2014/main" id="{95CFE1AF-D55D-CF19-F14B-DBE101CDE2AF}"/>
            </a:ext>
          </a:extLst>
        </xdr:cNvPr>
        <xdr:cNvSpPr>
          <a:spLocks noChangeShapeType="1"/>
        </xdr:cNvSpPr>
      </xdr:nvSpPr>
      <xdr:spPr bwMode="auto">
        <a:xfrm>
          <a:off x="9029700" y="914400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48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7178" name="Line 95">
          <a:extLst>
            <a:ext uri="{FF2B5EF4-FFF2-40B4-BE49-F238E27FC236}">
              <a16:creationId xmlns:a16="http://schemas.microsoft.com/office/drawing/2014/main" id="{D7C27BFE-E29E-6F18-3B0E-D18F96C023D8}"/>
            </a:ext>
          </a:extLst>
        </xdr:cNvPr>
        <xdr:cNvSpPr>
          <a:spLocks noChangeShapeType="1"/>
        </xdr:cNvSpPr>
      </xdr:nvSpPr>
      <xdr:spPr bwMode="auto">
        <a:xfrm>
          <a:off x="9029700" y="12363450"/>
          <a:ext cx="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35</xdr:row>
      <xdr:rowOff>0</xdr:rowOff>
    </xdr:from>
    <xdr:to>
      <xdr:col>13</xdr:col>
      <xdr:colOff>133350</xdr:colOff>
      <xdr:row>35</xdr:row>
      <xdr:rowOff>0</xdr:rowOff>
    </xdr:to>
    <xdr:sp macro="" textlink="">
      <xdr:nvSpPr>
        <xdr:cNvPr id="7179" name="Line 24">
          <a:extLst>
            <a:ext uri="{FF2B5EF4-FFF2-40B4-BE49-F238E27FC236}">
              <a16:creationId xmlns:a16="http://schemas.microsoft.com/office/drawing/2014/main" id="{EA62020F-1676-1A0F-EAB4-F58CC9A61ACE}"/>
            </a:ext>
          </a:extLst>
        </xdr:cNvPr>
        <xdr:cNvSpPr>
          <a:spLocks noChangeShapeType="1"/>
        </xdr:cNvSpPr>
      </xdr:nvSpPr>
      <xdr:spPr bwMode="auto">
        <a:xfrm>
          <a:off x="8782050" y="914400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54</xdr:row>
      <xdr:rowOff>0</xdr:rowOff>
    </xdr:from>
    <xdr:to>
      <xdr:col>13</xdr:col>
      <xdr:colOff>123825</xdr:colOff>
      <xdr:row>54</xdr:row>
      <xdr:rowOff>0</xdr:rowOff>
    </xdr:to>
    <xdr:sp macro="" textlink="">
      <xdr:nvSpPr>
        <xdr:cNvPr id="7180" name="Line 25">
          <a:extLst>
            <a:ext uri="{FF2B5EF4-FFF2-40B4-BE49-F238E27FC236}">
              <a16:creationId xmlns:a16="http://schemas.microsoft.com/office/drawing/2014/main" id="{D84A802D-AC69-D8CB-B071-90A5AA2FE80C}"/>
            </a:ext>
          </a:extLst>
        </xdr:cNvPr>
        <xdr:cNvSpPr>
          <a:spLocks noChangeShapeType="1"/>
        </xdr:cNvSpPr>
      </xdr:nvSpPr>
      <xdr:spPr bwMode="auto">
        <a:xfrm>
          <a:off x="8772525" y="138493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48</xdr:row>
      <xdr:rowOff>0</xdr:rowOff>
    </xdr:from>
    <xdr:to>
      <xdr:col>13</xdr:col>
      <xdr:colOff>133350</xdr:colOff>
      <xdr:row>48</xdr:row>
      <xdr:rowOff>0</xdr:rowOff>
    </xdr:to>
    <xdr:sp macro="" textlink="">
      <xdr:nvSpPr>
        <xdr:cNvPr id="7181" name="Line 26">
          <a:extLst>
            <a:ext uri="{FF2B5EF4-FFF2-40B4-BE49-F238E27FC236}">
              <a16:creationId xmlns:a16="http://schemas.microsoft.com/office/drawing/2014/main" id="{1705DF77-199A-ED13-F5B1-99082C5C5C97}"/>
            </a:ext>
          </a:extLst>
        </xdr:cNvPr>
        <xdr:cNvSpPr>
          <a:spLocks noChangeShapeType="1"/>
        </xdr:cNvSpPr>
      </xdr:nvSpPr>
      <xdr:spPr bwMode="auto">
        <a:xfrm>
          <a:off x="8782050" y="123634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123825</xdr:colOff>
      <xdr:row>38</xdr:row>
      <xdr:rowOff>0</xdr:rowOff>
    </xdr:to>
    <xdr:sp macro="" textlink="">
      <xdr:nvSpPr>
        <xdr:cNvPr id="7182" name="Line 27">
          <a:extLst>
            <a:ext uri="{FF2B5EF4-FFF2-40B4-BE49-F238E27FC236}">
              <a16:creationId xmlns:a16="http://schemas.microsoft.com/office/drawing/2014/main" id="{A2D8166B-230C-8AF9-5283-AD3BB8B43AF3}"/>
            </a:ext>
          </a:extLst>
        </xdr:cNvPr>
        <xdr:cNvSpPr>
          <a:spLocks noChangeShapeType="1"/>
        </xdr:cNvSpPr>
      </xdr:nvSpPr>
      <xdr:spPr bwMode="auto">
        <a:xfrm>
          <a:off x="8772525" y="98869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66675</xdr:colOff>
      <xdr:row>0</xdr:row>
      <xdr:rowOff>66675</xdr:rowOff>
    </xdr:from>
    <xdr:to>
      <xdr:col>13</xdr:col>
      <xdr:colOff>200025</xdr:colOff>
      <xdr:row>1</xdr:row>
      <xdr:rowOff>323850</xdr:rowOff>
    </xdr:to>
    <xdr:pic>
      <xdr:nvPicPr>
        <xdr:cNvPr id="7183" name="Picture 4">
          <a:extLst>
            <a:ext uri="{FF2B5EF4-FFF2-40B4-BE49-F238E27FC236}">
              <a16:creationId xmlns:a16="http://schemas.microsoft.com/office/drawing/2014/main" id="{F6E6FD5B-3785-C7E2-E205-D27B64F8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666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38</xdr:row>
      <xdr:rowOff>9525</xdr:rowOff>
    </xdr:from>
    <xdr:to>
      <xdr:col>13</xdr:col>
      <xdr:colOff>0</xdr:colOff>
      <xdr:row>44</xdr:row>
      <xdr:rowOff>9525</xdr:rowOff>
    </xdr:to>
    <xdr:sp macro="" textlink="">
      <xdr:nvSpPr>
        <xdr:cNvPr id="7184" name="Line 95">
          <a:extLst>
            <a:ext uri="{FF2B5EF4-FFF2-40B4-BE49-F238E27FC236}">
              <a16:creationId xmlns:a16="http://schemas.microsoft.com/office/drawing/2014/main" id="{C997FF14-DF67-2591-69CB-395F53BD8296}"/>
            </a:ext>
          </a:extLst>
        </xdr:cNvPr>
        <xdr:cNvSpPr>
          <a:spLocks noChangeShapeType="1"/>
        </xdr:cNvSpPr>
      </xdr:nvSpPr>
      <xdr:spPr bwMode="auto">
        <a:xfrm>
          <a:off x="9029700" y="9896475"/>
          <a:ext cx="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9525</xdr:rowOff>
    </xdr:from>
    <xdr:to>
      <xdr:col>13</xdr:col>
      <xdr:colOff>0</xdr:colOff>
      <xdr:row>48</xdr:row>
      <xdr:rowOff>9525</xdr:rowOff>
    </xdr:to>
    <xdr:sp macro="" textlink="">
      <xdr:nvSpPr>
        <xdr:cNvPr id="7185" name="Line 69">
          <a:extLst>
            <a:ext uri="{FF2B5EF4-FFF2-40B4-BE49-F238E27FC236}">
              <a16:creationId xmlns:a16="http://schemas.microsoft.com/office/drawing/2014/main" id="{5773CEA3-BDD5-2EF0-1218-828DE1FD9A37}"/>
            </a:ext>
          </a:extLst>
        </xdr:cNvPr>
        <xdr:cNvSpPr>
          <a:spLocks noChangeShapeType="1"/>
        </xdr:cNvSpPr>
      </xdr:nvSpPr>
      <xdr:spPr bwMode="auto">
        <a:xfrm>
          <a:off x="9029700" y="11382375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381000</xdr:colOff>
      <xdr:row>2</xdr:row>
      <xdr:rowOff>180975</xdr:rowOff>
    </xdr:from>
    <xdr:to>
      <xdr:col>13</xdr:col>
      <xdr:colOff>9525</xdr:colOff>
      <xdr:row>14</xdr:row>
      <xdr:rowOff>161925</xdr:rowOff>
    </xdr:to>
    <xdr:pic>
      <xdr:nvPicPr>
        <xdr:cNvPr id="7186" name="Picture 23">
          <a:extLst>
            <a:ext uri="{FF2B5EF4-FFF2-40B4-BE49-F238E27FC236}">
              <a16:creationId xmlns:a16="http://schemas.microsoft.com/office/drawing/2014/main" id="{C3090814-0769-A08C-82D1-FBB9EBB0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942975"/>
          <a:ext cx="403860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44</xdr:row>
      <xdr:rowOff>0</xdr:rowOff>
    </xdr:to>
    <xdr:sp macro="" textlink="">
      <xdr:nvSpPr>
        <xdr:cNvPr id="7187" name="Line 9">
          <a:extLst>
            <a:ext uri="{FF2B5EF4-FFF2-40B4-BE49-F238E27FC236}">
              <a16:creationId xmlns:a16="http://schemas.microsoft.com/office/drawing/2014/main" id="{7CE1A344-1A35-C8DE-D5E6-59B0A6C33B37}"/>
            </a:ext>
          </a:extLst>
        </xdr:cNvPr>
        <xdr:cNvSpPr>
          <a:spLocks noChangeShapeType="1"/>
        </xdr:cNvSpPr>
      </xdr:nvSpPr>
      <xdr:spPr bwMode="auto">
        <a:xfrm>
          <a:off x="8524875" y="113728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44</xdr:row>
      <xdr:rowOff>9525</xdr:rowOff>
    </xdr:from>
    <xdr:to>
      <xdr:col>13</xdr:col>
      <xdr:colOff>66675</xdr:colOff>
      <xdr:row>44</xdr:row>
      <xdr:rowOff>9525</xdr:rowOff>
    </xdr:to>
    <xdr:sp macro="" textlink="">
      <xdr:nvSpPr>
        <xdr:cNvPr id="7188" name="Line 25">
          <a:extLst>
            <a:ext uri="{FF2B5EF4-FFF2-40B4-BE49-F238E27FC236}">
              <a16:creationId xmlns:a16="http://schemas.microsoft.com/office/drawing/2014/main" id="{EEB39DDE-2FF2-0311-DDCB-2E2C4B19AEB4}"/>
            </a:ext>
          </a:extLst>
        </xdr:cNvPr>
        <xdr:cNvSpPr>
          <a:spLocks noChangeShapeType="1"/>
        </xdr:cNvSpPr>
      </xdr:nvSpPr>
      <xdr:spPr bwMode="auto">
        <a:xfrm>
          <a:off x="8753475" y="113823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47625</xdr:colOff>
      <xdr:row>0</xdr:row>
      <xdr:rowOff>209550</xdr:rowOff>
    </xdr:from>
    <xdr:to>
      <xdr:col>0</xdr:col>
      <xdr:colOff>676275</xdr:colOff>
      <xdr:row>1</xdr:row>
      <xdr:rowOff>209550</xdr:rowOff>
    </xdr:to>
    <xdr:pic>
      <xdr:nvPicPr>
        <xdr:cNvPr id="7189" name="Picture 29">
          <a:extLst>
            <a:ext uri="{FF2B5EF4-FFF2-40B4-BE49-F238E27FC236}">
              <a16:creationId xmlns:a16="http://schemas.microsoft.com/office/drawing/2014/main" id="{C58212C4-FC68-ECCD-7DE2-95EE94D2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4CBD-E5FC-4FD9-9EB1-0A7100E1F40B}">
  <dimension ref="A1:T152"/>
  <sheetViews>
    <sheetView showGridLines="0" showZeros="0" tabSelected="1" zoomScaleNormal="100" workbookViewId="0">
      <selection activeCell="B5" sqref="B5"/>
    </sheetView>
  </sheetViews>
  <sheetFormatPr baseColWidth="10" defaultRowHeight="12.75"/>
  <cols>
    <col min="1" max="1" width="10.7109375" style="2" customWidth="1"/>
    <col min="2" max="11" width="11.7109375" style="2" customWidth="1"/>
    <col min="12" max="12" width="3.7109375" style="2" customWidth="1"/>
    <col min="13" max="13" width="3.85546875" style="2" customWidth="1"/>
    <col min="14" max="14" width="4.7109375" style="2" customWidth="1"/>
    <col min="15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323"/>
      <c r="M1" s="323"/>
      <c r="N1" s="324"/>
      <c r="O1" s="139"/>
      <c r="P1" s="139"/>
      <c r="Q1" s="139"/>
      <c r="R1" s="139"/>
      <c r="S1" s="8"/>
    </row>
    <row r="2" spans="1:19" ht="30" customHeight="1">
      <c r="A2" s="306"/>
      <c r="B2" s="310" t="s">
        <v>88</v>
      </c>
      <c r="C2" s="311"/>
      <c r="D2" s="311"/>
      <c r="E2" s="311"/>
      <c r="F2" s="311"/>
      <c r="G2" s="311"/>
      <c r="H2" s="311"/>
      <c r="I2" s="311"/>
      <c r="J2" s="311"/>
      <c r="K2" s="312"/>
      <c r="L2" s="325"/>
      <c r="M2" s="325"/>
      <c r="N2" s="326"/>
      <c r="O2" s="140"/>
      <c r="P2" s="140"/>
      <c r="Q2" s="140"/>
      <c r="R2" s="140"/>
      <c r="S2" s="8"/>
    </row>
    <row r="3" spans="1:19" ht="15" customHeight="1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2"/>
      <c r="O3" s="140"/>
      <c r="P3" s="140"/>
      <c r="Q3" s="140"/>
      <c r="R3" s="140"/>
      <c r="S3" s="8"/>
    </row>
    <row r="4" spans="1:19" ht="21" customHeight="1">
      <c r="A4" s="318" t="s">
        <v>59</v>
      </c>
      <c r="B4" s="319"/>
      <c r="C4" s="319"/>
      <c r="D4" s="3"/>
      <c r="E4" s="3"/>
      <c r="F4" s="3"/>
      <c r="G4" s="99"/>
      <c r="H4" s="99"/>
      <c r="I4" s="317"/>
      <c r="J4" s="317"/>
      <c r="K4" s="317"/>
      <c r="L4" s="317"/>
      <c r="M4" s="100"/>
      <c r="N4" s="134"/>
      <c r="O4" s="100"/>
      <c r="P4" s="100"/>
      <c r="Q4" s="100"/>
      <c r="R4" s="100"/>
      <c r="S4" s="8"/>
    </row>
    <row r="5" spans="1:19" ht="21.6" customHeight="1">
      <c r="A5" s="5" t="s">
        <v>28</v>
      </c>
      <c r="B5" s="148"/>
      <c r="C5" s="6" t="s">
        <v>29</v>
      </c>
      <c r="D5" s="6" t="s">
        <v>67</v>
      </c>
      <c r="E5" s="6"/>
      <c r="F5" s="6"/>
      <c r="G5" s="36"/>
      <c r="H5" s="36"/>
      <c r="I5" s="77"/>
      <c r="J5" s="36"/>
      <c r="K5" s="36"/>
      <c r="L5" s="36"/>
      <c r="M5" s="36"/>
      <c r="N5" s="135"/>
      <c r="O5" s="101"/>
      <c r="P5" s="8"/>
      <c r="Q5" s="8"/>
      <c r="R5" s="8"/>
      <c r="S5" s="8"/>
    </row>
    <row r="6" spans="1:19" ht="21.6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36"/>
      <c r="H6" s="36"/>
      <c r="I6" s="36"/>
      <c r="J6" s="105"/>
      <c r="K6" s="105"/>
      <c r="L6" s="36"/>
      <c r="M6" s="36"/>
      <c r="N6" s="136"/>
      <c r="O6" s="36"/>
      <c r="P6" s="6"/>
      <c r="Q6" s="6"/>
      <c r="R6" s="8"/>
      <c r="S6" s="8"/>
    </row>
    <row r="7" spans="1:19" ht="21.6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36"/>
      <c r="H7" s="36"/>
      <c r="I7" s="36"/>
      <c r="J7" s="105"/>
      <c r="K7" s="105"/>
      <c r="L7" s="36"/>
      <c r="M7" s="36"/>
      <c r="N7" s="136"/>
      <c r="O7" s="36"/>
      <c r="P7" s="6"/>
      <c r="Q7" s="6"/>
      <c r="R7" s="8"/>
      <c r="S7" s="8"/>
    </row>
    <row r="8" spans="1:19" ht="21.6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36"/>
      <c r="H8" s="36"/>
      <c r="I8" s="103"/>
      <c r="J8" s="38"/>
      <c r="K8" s="38"/>
      <c r="L8" s="36"/>
      <c r="M8" s="36"/>
      <c r="N8" s="136"/>
      <c r="O8" s="36"/>
      <c r="P8" s="6"/>
      <c r="Q8" s="6"/>
      <c r="R8" s="8"/>
      <c r="S8" s="8"/>
    </row>
    <row r="9" spans="1:19" ht="21.6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36"/>
      <c r="H9" s="36"/>
      <c r="I9" s="104"/>
      <c r="J9" s="105"/>
      <c r="K9" s="105"/>
      <c r="L9" s="36"/>
      <c r="M9" s="36"/>
      <c r="N9" s="136"/>
      <c r="O9" s="36"/>
      <c r="P9" s="6"/>
      <c r="Q9" s="6"/>
      <c r="R9" s="8"/>
      <c r="S9" s="8"/>
    </row>
    <row r="10" spans="1:19" ht="18" customHeight="1">
      <c r="A10" s="5"/>
      <c r="B10" s="12"/>
      <c r="C10" s="13"/>
      <c r="D10" s="6"/>
      <c r="E10" s="6"/>
      <c r="F10" s="6"/>
      <c r="G10" s="36"/>
      <c r="H10" s="36"/>
      <c r="I10" s="104"/>
      <c r="J10" s="105"/>
      <c r="K10" s="105"/>
      <c r="L10" s="36"/>
      <c r="M10" s="36"/>
      <c r="N10" s="136"/>
      <c r="O10" s="36"/>
      <c r="P10" s="6"/>
      <c r="Q10" s="6"/>
      <c r="R10" s="8"/>
      <c r="S10" s="8"/>
    </row>
    <row r="11" spans="1:19" ht="18" customHeight="1">
      <c r="A11" s="5"/>
      <c r="B11" s="12"/>
      <c r="C11" s="13"/>
      <c r="D11" s="6"/>
      <c r="E11" s="6"/>
      <c r="F11" s="6"/>
      <c r="G11" s="36"/>
      <c r="H11" s="36"/>
      <c r="I11" s="104"/>
      <c r="J11" s="105"/>
      <c r="K11" s="105"/>
      <c r="L11" s="36"/>
      <c r="M11" s="36"/>
      <c r="N11" s="136"/>
      <c r="O11" s="36"/>
      <c r="P11" s="6"/>
      <c r="Q11" s="6"/>
      <c r="R11" s="8"/>
      <c r="S11" s="8"/>
    </row>
    <row r="12" spans="1:19" ht="18" customHeight="1">
      <c r="A12" s="5"/>
      <c r="B12" s="12"/>
      <c r="C12" s="13"/>
      <c r="D12" s="6"/>
      <c r="E12" s="6"/>
      <c r="F12" s="6"/>
      <c r="G12" s="36"/>
      <c r="H12" s="36"/>
      <c r="I12" s="104"/>
      <c r="J12" s="105"/>
      <c r="K12" s="105"/>
      <c r="L12" s="36"/>
      <c r="M12" s="36"/>
      <c r="N12" s="136"/>
      <c r="O12" s="36"/>
      <c r="P12" s="6"/>
      <c r="Q12" s="6"/>
      <c r="R12" s="8"/>
      <c r="S12" s="8"/>
    </row>
    <row r="13" spans="1:19" ht="21" customHeight="1">
      <c r="A13" s="315" t="s">
        <v>71</v>
      </c>
      <c r="B13" s="316"/>
      <c r="C13" s="316"/>
      <c r="D13" s="316"/>
      <c r="E13" s="316"/>
      <c r="F13" s="316"/>
      <c r="G13" s="6"/>
      <c r="H13" s="6"/>
      <c r="I13" s="6"/>
      <c r="J13" s="45"/>
      <c r="K13" s="45"/>
      <c r="L13" s="6"/>
      <c r="M13" s="6"/>
      <c r="N13" s="137"/>
      <c r="O13" s="6"/>
      <c r="P13" s="6"/>
      <c r="Q13" s="6"/>
      <c r="R13" s="8"/>
      <c r="S13" s="8"/>
    </row>
    <row r="14" spans="1:19" ht="21" customHeight="1">
      <c r="A14" s="15" t="s">
        <v>41</v>
      </c>
      <c r="B14" s="16"/>
      <c r="C14" s="16"/>
      <c r="D14" s="16"/>
      <c r="E14" s="16"/>
      <c r="F14" s="16"/>
      <c r="G14" s="6"/>
      <c r="H14" s="6"/>
      <c r="I14" s="6"/>
      <c r="J14" s="6"/>
      <c r="K14" s="6"/>
      <c r="L14" s="6"/>
      <c r="M14" s="6"/>
      <c r="N14" s="9"/>
      <c r="O14" s="8"/>
      <c r="P14" s="8"/>
      <c r="Q14" s="8"/>
      <c r="R14" s="8"/>
      <c r="S14" s="8"/>
    </row>
    <row r="15" spans="1:19" ht="21" customHeight="1">
      <c r="A15" s="15" t="s">
        <v>2</v>
      </c>
      <c r="B15" s="16"/>
      <c r="C15" s="16"/>
      <c r="D15" s="16"/>
      <c r="E15" s="6"/>
      <c r="F15" s="6"/>
      <c r="G15" s="6"/>
      <c r="H15" s="6"/>
      <c r="I15" s="98" t="s">
        <v>58</v>
      </c>
      <c r="J15" s="8"/>
      <c r="K15" s="98"/>
      <c r="L15" s="98"/>
      <c r="M15" s="3"/>
      <c r="N15" s="138"/>
      <c r="O15" s="3"/>
      <c r="P15" s="8"/>
      <c r="Q15" s="8"/>
      <c r="R15" s="8"/>
      <c r="S15" s="8"/>
    </row>
    <row r="16" spans="1:19" ht="21.6" customHeight="1">
      <c r="A16" s="17" t="s">
        <v>3</v>
      </c>
      <c r="B16" s="18" t="s">
        <v>4</v>
      </c>
      <c r="C16" s="19" t="s">
        <v>5</v>
      </c>
      <c r="D16" s="19" t="s">
        <v>6</v>
      </c>
      <c r="E16" s="19" t="s">
        <v>7</v>
      </c>
      <c r="F16" s="20" t="s">
        <v>35</v>
      </c>
      <c r="G16" s="6"/>
      <c r="H16" s="6"/>
      <c r="I16" s="7" t="s">
        <v>11</v>
      </c>
      <c r="J16" s="8"/>
      <c r="K16" s="7"/>
      <c r="L16" s="6"/>
      <c r="M16" s="6"/>
      <c r="N16" s="9"/>
      <c r="O16" s="8"/>
      <c r="P16" s="8"/>
      <c r="Q16" s="8"/>
      <c r="R16" s="8"/>
      <c r="S16" s="8"/>
    </row>
    <row r="17" spans="1:19" ht="21.6" customHeight="1">
      <c r="A17" s="21" t="s">
        <v>0</v>
      </c>
      <c r="B17" s="22" t="s">
        <v>0</v>
      </c>
      <c r="C17" s="22" t="s">
        <v>36</v>
      </c>
      <c r="D17" s="23" t="s">
        <v>8</v>
      </c>
      <c r="E17" s="23" t="s">
        <v>8</v>
      </c>
      <c r="F17" s="24" t="s">
        <v>36</v>
      </c>
      <c r="G17" s="6"/>
      <c r="H17" s="6"/>
      <c r="I17" s="6" t="s">
        <v>60</v>
      </c>
      <c r="J17" s="209">
        <f>IF(AND(A18&lt;=0,B23&lt;=0),0,0.2)</f>
        <v>0</v>
      </c>
      <c r="K17" s="6" t="s">
        <v>8</v>
      </c>
      <c r="L17" s="316"/>
      <c r="M17" s="316"/>
      <c r="N17" s="320"/>
      <c r="O17" s="6"/>
      <c r="P17" s="6"/>
      <c r="Q17" s="6"/>
      <c r="R17" s="8"/>
      <c r="S17" s="8"/>
    </row>
    <row r="18" spans="1:19" ht="21.6" customHeight="1">
      <c r="A18" s="68"/>
      <c r="B18" s="69"/>
      <c r="C18" s="220">
        <f>IF(OR(A18&lt;=0,B18&lt;=0),0,(A18/1000*(B18/1000-$J$18-$J$19)+(A18/1000+(A18/1000-2*$J$17))/2*$J$18+(A18/1000+(A18/1000-2*$J$20))/2*$J$19))</f>
        <v>0</v>
      </c>
      <c r="D18" s="26">
        <f>IF(OR(A18&lt;=0,B18&lt;=0),0,(A18/1000-2*$J$20)+(A18/1000-2*$J$17)+(B18/1000-$J$19-$J$18)*2+(SQRT(POWER($J$20,2)+POWER($J$19,2))*2+(SQRT(POWER($J$17,2)+POWER($J$18,2))*2)))</f>
        <v>0</v>
      </c>
      <c r="E18" s="26">
        <f>IF(ISERROR(C18/D18),0,C18/D18)</f>
        <v>0</v>
      </c>
      <c r="F18" s="221">
        <f>IF(ISERROR($B$5/(-2*LOG(2.51*$B$9/(4*E18*SQRT(8*$B$8*E18*$B$6/1000))+$B$7/(1000*(14.84*E18)))*SQRT(8*$B$8*E18*$B$6/1000))),0,$B$5/(-2*LOG(2.51*$B$9/(4*E18*SQRT(8*$B$8*E18*$B$6/1000))+$B$7/(1000*(14.84*E18)))*SQRT(8*$B$8*E18*$B$6/1000)))</f>
        <v>0</v>
      </c>
      <c r="G18" s="6"/>
      <c r="H18" s="6"/>
      <c r="I18" s="6" t="s">
        <v>12</v>
      </c>
      <c r="J18" s="209">
        <f>IF(J17&lt;=0,0,0.2)</f>
        <v>0</v>
      </c>
      <c r="K18" s="6" t="s">
        <v>8</v>
      </c>
      <c r="L18" s="316"/>
      <c r="M18" s="316"/>
      <c r="N18" s="320"/>
      <c r="O18" s="6"/>
      <c r="P18" s="6"/>
      <c r="Q18" s="8"/>
      <c r="R18" s="8"/>
      <c r="S18" s="8"/>
    </row>
    <row r="19" spans="1:19" ht="21.6" customHeight="1">
      <c r="A19" s="270"/>
      <c r="B19" s="271"/>
      <c r="C19" s="260">
        <f>IF(OR(A19&lt;=0,B19&lt;=0),0,(A19/1000*(B19/1000-$J$18-$J$19)+(A19/1000+(A19/1000-2*$J$17))/2*$J$18+(A19/1000+(A19/1000-2*$J$20))/2*$J$19))</f>
        <v>0</v>
      </c>
      <c r="D19" s="28">
        <f>IF(OR(A19&lt;=0,B19&lt;=0),0,(A19/1000-2*$J$20)+(A19/1000-2*$J$17)+(B19/1000-$J$19-$J$18)*2+(SQRT(POWER($J$20,2)+POWER($J$19,2))*2+(SQRT(POWER($J$17,2)+POWER($J$18,2))*2)))</f>
        <v>0</v>
      </c>
      <c r="E19" s="28">
        <f>IF(ISERROR(C19/D19),0,C19/D19)</f>
        <v>0</v>
      </c>
      <c r="F19" s="261">
        <f>IF(ISERROR($B$5/(-2*LOG(2.51*$B$9/(4*E19*SQRT(8*$B$8*E19*$B$6/1000))+$B$7/(1000*(14.84*E19)))*SQRT(8*$B$8*E19*$B$6/1000))),0,$B$5/(-2*LOG(2.51*$B$9/(4*E19*SQRT(8*$B$8*E19*$B$6/1000))+$B$7/(1000*(14.84*E19)))*SQRT(8*$B$8*E19*$B$6/1000)))</f>
        <v>0</v>
      </c>
      <c r="G19" s="6"/>
      <c r="H19" s="6"/>
      <c r="I19" s="14" t="s">
        <v>13</v>
      </c>
      <c r="J19" s="209">
        <f>IF(AND(A18&lt;=0,B23&lt;=0),0,0.2)</f>
        <v>0</v>
      </c>
      <c r="K19" s="14" t="s">
        <v>8</v>
      </c>
      <c r="L19" s="197"/>
      <c r="M19" s="197"/>
      <c r="N19" s="198"/>
      <c r="O19" s="6"/>
      <c r="P19" s="8"/>
      <c r="Q19" s="8"/>
      <c r="R19" s="8"/>
      <c r="S19" s="8"/>
    </row>
    <row r="20" spans="1:19" ht="21.6" customHeight="1">
      <c r="A20" s="29"/>
      <c r="B20" s="30"/>
      <c r="C20" s="31"/>
      <c r="D20" s="31"/>
      <c r="E20" s="31"/>
      <c r="F20" s="31"/>
      <c r="G20" s="6"/>
      <c r="H20" s="6"/>
      <c r="I20" s="14" t="s">
        <v>14</v>
      </c>
      <c r="J20" s="209">
        <f>IF(OR(B23&lt;=0,J19&lt;0),0,0.2)</f>
        <v>0</v>
      </c>
      <c r="K20" s="14" t="s">
        <v>8</v>
      </c>
      <c r="L20" s="197"/>
      <c r="M20" s="197"/>
      <c r="N20" s="198"/>
      <c r="O20" s="6"/>
      <c r="P20" s="8"/>
      <c r="Q20" s="8"/>
      <c r="R20" s="8"/>
      <c r="S20" s="8"/>
    </row>
    <row r="21" spans="1:19" ht="21" customHeight="1">
      <c r="A21" s="32" t="s">
        <v>9</v>
      </c>
      <c r="B21" s="16"/>
      <c r="C21" s="16"/>
      <c r="D21" s="16"/>
      <c r="E21" s="6"/>
      <c r="F21" s="6"/>
      <c r="G21" s="6"/>
      <c r="H21" s="6"/>
      <c r="I21" s="8"/>
      <c r="J21" s="8"/>
      <c r="K21" s="8"/>
      <c r="L21" s="8"/>
      <c r="M21" s="8"/>
      <c r="N21" s="9"/>
      <c r="O21" s="8"/>
      <c r="P21" s="8"/>
      <c r="Q21" s="8"/>
      <c r="R21" s="8"/>
      <c r="S21" s="8"/>
    </row>
    <row r="22" spans="1:19" ht="21" customHeight="1">
      <c r="A22" s="32" t="s">
        <v>10</v>
      </c>
      <c r="B22" s="16"/>
      <c r="C22" s="16"/>
      <c r="D22" s="16"/>
      <c r="E22" s="97" t="s">
        <v>106</v>
      </c>
      <c r="F22" s="6"/>
      <c r="G22" s="6"/>
      <c r="H22" s="6"/>
      <c r="I22" s="6"/>
      <c r="J22" s="6"/>
      <c r="K22" s="6"/>
      <c r="L22" s="6"/>
      <c r="M22" s="6"/>
      <c r="N22" s="9"/>
      <c r="O22" s="8"/>
      <c r="P22" s="8"/>
      <c r="Q22" s="8"/>
      <c r="R22" s="8"/>
      <c r="S22" s="8"/>
    </row>
    <row r="23" spans="1:19" ht="21.6" customHeight="1">
      <c r="A23" s="5" t="s">
        <v>3</v>
      </c>
      <c r="B23" s="236">
        <f>A19</f>
        <v>0</v>
      </c>
      <c r="C23" s="6" t="s">
        <v>0</v>
      </c>
      <c r="D23" s="33"/>
      <c r="E23" s="200" t="s">
        <v>108</v>
      </c>
      <c r="F23" s="52">
        <f>IF(AND(B23&lt;=0,B24&lt;=0),0,(B23/1000*(B24/1000-$J$18-$J$19)+(B23/1000+(B23/1000-2*$J$17))/2*$J$18+(B23/1000+(B23/1000-2*$J$20))/2*$J$19))</f>
        <v>0</v>
      </c>
      <c r="G23" s="6" t="s">
        <v>36</v>
      </c>
      <c r="H23" s="6"/>
      <c r="I23" s="14"/>
      <c r="J23" s="8"/>
      <c r="K23" s="95"/>
      <c r="L23" s="95"/>
      <c r="M23" s="160"/>
      <c r="N23" s="164"/>
      <c r="O23" s="95"/>
      <c r="P23" s="95"/>
      <c r="Q23" s="8"/>
      <c r="R23" s="8"/>
      <c r="S23" s="8"/>
    </row>
    <row r="24" spans="1:19" ht="21.6" customHeight="1">
      <c r="A24" s="5" t="s">
        <v>4</v>
      </c>
      <c r="B24" s="236">
        <f>B19</f>
        <v>0</v>
      </c>
      <c r="C24" s="6" t="s">
        <v>0</v>
      </c>
      <c r="D24" s="6"/>
      <c r="E24" s="35" t="s">
        <v>62</v>
      </c>
      <c r="F24" s="237">
        <f>IF(AND(B23&lt;=0,B24&lt;=0),0,(B23/1000-2*$J$20)+(B23/1000-2*$J$17)+(B24/1000-$J$19-$J$18)*2+(SQRT(POWER($J$20,2)+POWER($J$19,2))*2+(SQRT(POWER($J$17,2)+POWER($J$18,2))*2)))</f>
        <v>0</v>
      </c>
      <c r="G24" s="36" t="s">
        <v>8</v>
      </c>
      <c r="H24" s="36"/>
      <c r="I24" s="14"/>
      <c r="J24" s="8"/>
      <c r="K24" s="16"/>
      <c r="L24" s="16"/>
      <c r="M24" s="161"/>
      <c r="N24" s="165"/>
      <c r="O24" s="16"/>
      <c r="P24" s="16"/>
      <c r="Q24" s="8"/>
      <c r="R24" s="8"/>
      <c r="S24" s="8"/>
    </row>
    <row r="25" spans="1:19" ht="21.6" customHeight="1">
      <c r="A25" s="5"/>
      <c r="B25" s="37"/>
      <c r="C25" s="6"/>
      <c r="D25" s="6"/>
      <c r="E25" s="200" t="s">
        <v>109</v>
      </c>
      <c r="F25" s="291">
        <f>IF(ISERROR(IF(B23&lt;=0,0,-2*LOG(2.51*$B$9/(4*F23/F24*SQRT(8*$B$8*F23/F24*$B$6/1000))+$B$7/(1000*(14.84*F23/F24)))*SQRT(8*$B$8*F23/F24*$B$6/1000))),0,IF(B23&lt;=0,0,-2*LOG(2.51*$B$9/(4*F23/F24*SQRT(8*$B$8*F23/F24*$B$6/1000))+$B$7/(1000*(14.84*F23/F24)))*SQRT(8*$B$8*F23/F24*$B$6/1000)))</f>
        <v>0</v>
      </c>
      <c r="G25" s="95" t="s">
        <v>15</v>
      </c>
      <c r="H25" s="36"/>
      <c r="I25" s="13" t="s">
        <v>84</v>
      </c>
      <c r="J25" s="8"/>
      <c r="K25" s="8"/>
      <c r="L25" s="6"/>
      <c r="M25" s="6"/>
      <c r="N25" s="9"/>
      <c r="O25" s="8"/>
      <c r="P25" s="8"/>
      <c r="Q25" s="8"/>
      <c r="R25" s="8"/>
      <c r="S25" s="8"/>
    </row>
    <row r="26" spans="1:19" ht="21.6" customHeight="1">
      <c r="A26" s="5"/>
      <c r="B26" s="37"/>
      <c r="C26" s="6"/>
      <c r="D26" s="6"/>
      <c r="E26" s="200" t="s">
        <v>107</v>
      </c>
      <c r="F26" s="290">
        <f>IF(B23&lt;=0,0,F23*F25)</f>
        <v>0</v>
      </c>
      <c r="G26" s="16" t="s">
        <v>29</v>
      </c>
      <c r="H26" s="36"/>
      <c r="I26" s="14" t="s">
        <v>85</v>
      </c>
      <c r="J26" s="52">
        <f>IF(B23&lt;=0,0,B24/1000+POWER(F25,2)/(2*B8))</f>
        <v>0</v>
      </c>
      <c r="K26" s="16" t="s">
        <v>8</v>
      </c>
      <c r="L26" s="161"/>
      <c r="M26" s="161"/>
      <c r="N26" s="165"/>
      <c r="O26" s="16"/>
      <c r="P26" s="8"/>
      <c r="Q26" s="8"/>
      <c r="R26" s="8"/>
      <c r="S26" s="8"/>
    </row>
    <row r="27" spans="1:19" ht="21" customHeight="1">
      <c r="A27" s="91" t="s">
        <v>49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  <c r="O27" s="8"/>
      <c r="P27" s="8"/>
      <c r="Q27" s="8"/>
      <c r="R27" s="8"/>
      <c r="S27" s="8"/>
    </row>
    <row r="28" spans="1:19" ht="45" customHeight="1">
      <c r="A28" s="40" t="s">
        <v>16</v>
      </c>
      <c r="B28" s="19" t="s">
        <v>17</v>
      </c>
      <c r="C28" s="19" t="s">
        <v>18</v>
      </c>
      <c r="D28" s="19" t="s">
        <v>19</v>
      </c>
      <c r="E28" s="19" t="s">
        <v>20</v>
      </c>
      <c r="F28" s="18" t="s">
        <v>21</v>
      </c>
      <c r="G28" s="19" t="s">
        <v>22</v>
      </c>
      <c r="H28" s="19" t="s">
        <v>90</v>
      </c>
      <c r="I28" s="18" t="s">
        <v>23</v>
      </c>
      <c r="J28" s="19" t="s">
        <v>24</v>
      </c>
      <c r="K28" s="20" t="s">
        <v>83</v>
      </c>
      <c r="L28" s="6"/>
      <c r="M28" s="6"/>
      <c r="N28" s="9"/>
      <c r="O28" s="8"/>
      <c r="P28" s="8"/>
      <c r="Q28" s="8"/>
      <c r="R28" s="8"/>
      <c r="S28" s="8"/>
    </row>
    <row r="29" spans="1:19" ht="21" customHeight="1">
      <c r="A29" s="41" t="s">
        <v>61</v>
      </c>
      <c r="B29" s="42" t="s">
        <v>5</v>
      </c>
      <c r="C29" s="42" t="s">
        <v>37</v>
      </c>
      <c r="D29" s="42" t="s">
        <v>38</v>
      </c>
      <c r="E29" s="42" t="s">
        <v>25</v>
      </c>
      <c r="F29" s="43" t="s">
        <v>72</v>
      </c>
      <c r="G29" s="42" t="s">
        <v>39</v>
      </c>
      <c r="H29" s="42" t="s">
        <v>91</v>
      </c>
      <c r="I29" s="43" t="s">
        <v>26</v>
      </c>
      <c r="J29" s="43" t="s">
        <v>40</v>
      </c>
      <c r="K29" s="108" t="s">
        <v>87</v>
      </c>
      <c r="L29" s="321" t="s">
        <v>76</v>
      </c>
      <c r="M29" s="322"/>
      <c r="N29" s="9"/>
      <c r="O29" s="8"/>
      <c r="P29" s="8"/>
      <c r="Q29" s="8"/>
      <c r="R29" s="8"/>
      <c r="S29" s="8"/>
    </row>
    <row r="30" spans="1:19" ht="21" customHeight="1">
      <c r="A30" s="21" t="s">
        <v>8</v>
      </c>
      <c r="B30" s="22" t="s">
        <v>36</v>
      </c>
      <c r="C30" s="22" t="s">
        <v>8</v>
      </c>
      <c r="D30" s="22" t="s">
        <v>8</v>
      </c>
      <c r="E30" s="22" t="s">
        <v>15</v>
      </c>
      <c r="F30" s="22" t="s">
        <v>29</v>
      </c>
      <c r="G30" s="22" t="s">
        <v>27</v>
      </c>
      <c r="H30" s="22" t="s">
        <v>8</v>
      </c>
      <c r="I30" s="22" t="s">
        <v>27</v>
      </c>
      <c r="J30" s="22" t="s">
        <v>8</v>
      </c>
      <c r="K30" s="107" t="s">
        <v>86</v>
      </c>
      <c r="L30" s="6"/>
      <c r="M30" s="6"/>
      <c r="N30" s="9"/>
      <c r="O30" s="8"/>
      <c r="P30" s="8"/>
      <c r="Q30" s="8"/>
      <c r="R30" s="8"/>
      <c r="S30" s="8"/>
    </row>
    <row r="31" spans="1:19" ht="21.6" customHeight="1">
      <c r="A31" s="203">
        <f>IF($B$24&lt;=0,0,A32+$J$18/3)</f>
        <v>0</v>
      </c>
      <c r="B31" s="120">
        <f>IF(A31&lt;=0,0,$B$34+($B$23/1000+$B$23/1000-2*(A31-$A$34)*$J$18/$J$17)/2*(A31-$A$34))</f>
        <v>0</v>
      </c>
      <c r="C31" s="120">
        <f>IF(A31&lt;=0,0,B23/1000-2*J17+$C$34+2*SQRT(POWER($J$17/$J$18*(A31-$A$34),2)+POWER((A31-$A$34),2)))</f>
        <v>0</v>
      </c>
      <c r="D31" s="120">
        <f t="shared" ref="D31:D46" si="0">IF(ISERROR(B31/C31),0,B31/C31)</f>
        <v>0</v>
      </c>
      <c r="E31" s="120">
        <f>IF(ISERROR(IF(A31&lt;=0,0,-2*LOG(2.51*$B$9/(4*D31*SQRT(8*$B$8*D31*$B$6/1000))+$B$7/(1000*(14.84*D31)))*SQRT(8*$B$8*D31*$B$6/1000))),0,IF(A31&lt;=0,0,-2*LOG(2.51*$B$9/(4*D31*SQRT(8*$B$8*D31*$B$6/1000))+$B$7/(1000*(14.84*D31)))*SQRT(8*$B$8*D31*$B$6/1000)))</f>
        <v>0</v>
      </c>
      <c r="F31" s="129">
        <f t="shared" ref="F31:F46" si="1">E31*B31</f>
        <v>0</v>
      </c>
      <c r="G31" s="130">
        <f>IF(ISERROR(F31/$F$26),0,F31/$F$26)</f>
        <v>0</v>
      </c>
      <c r="H31" s="130">
        <f>IF(AND(J17&lt;=0,J18&lt;=0),0,$B$23/1000-2*(A31-$A$34)*$J$18/$J$17)</f>
        <v>0</v>
      </c>
      <c r="I31" s="130">
        <f>IF(ISERROR(E31/SQRT($B$8*B31/($B$23/1000))),0,E31/SQRT($B$8*B31/H31))</f>
        <v>0</v>
      </c>
      <c r="J31" s="119">
        <f t="shared" ref="J31:J46" si="2">A31+POWER(E31,2)/(2*$B$8)</f>
        <v>0</v>
      </c>
      <c r="K31" s="124">
        <f>9.81*$B$6*D31</f>
        <v>0</v>
      </c>
      <c r="L31" s="6"/>
      <c r="M31" s="301">
        <f>IF(AND(J17&lt;=0,J18&lt;=0),0,"Voute")</f>
        <v>0</v>
      </c>
      <c r="N31" s="302">
        <f>IF(AND(J17&lt;=0,J18&lt;=0),0,J18)</f>
        <v>0</v>
      </c>
      <c r="O31" s="8"/>
      <c r="P31" s="8"/>
      <c r="Q31" s="8"/>
      <c r="R31" s="8"/>
      <c r="S31" s="8"/>
    </row>
    <row r="32" spans="1:19" ht="21.6" customHeight="1">
      <c r="A32" s="202">
        <f>IF($B$24&lt;=0,0,A33+$J$18/3)</f>
        <v>0</v>
      </c>
      <c r="B32" s="118">
        <f>IF(A32&lt;=0,0,$B$34+($B$23/1000+$B$23/1000-2*(A32-$A$34)*$J$18/$J$17)/2*(A32-$A$34))</f>
        <v>0</v>
      </c>
      <c r="C32" s="118">
        <f>IF(A32&lt;=0,0,$C$34+2*SQRT(POWER($J$17/$J$18*(A32-$A$34),2)+POWER((A32-$A$34),2)))</f>
        <v>0</v>
      </c>
      <c r="D32" s="118">
        <f t="shared" si="0"/>
        <v>0</v>
      </c>
      <c r="E32" s="118">
        <f>IF(ISERROR(IF(A32&lt;=0,0,-2*LOG(2.51*$B$9/(4*D32*SQRT(8*$B$8*D32*$B$6/1000))+$B$7/(1000*(14.84*D32)))*SQRT(8*$B$8*D32*$B$6/1000))),0,IF(A32&lt;=0,0,-2*LOG(2.51*$B$9/(4*D32*SQRT(8*$B$8*D32*$B$6/1000))+$B$7/(1000*(14.84*D32)))*SQRT(8*$B$8*D32*$B$6/1000)))</f>
        <v>0</v>
      </c>
      <c r="F32" s="125">
        <f t="shared" si="1"/>
        <v>0</v>
      </c>
      <c r="G32" s="123">
        <f t="shared" ref="G32:G46" si="3">IF(ISERROR(F32/$F$26),0,F32/$F$26)</f>
        <v>0</v>
      </c>
      <c r="H32" s="123">
        <f>IF(AND(J17&lt;=0,J18&lt;=0),0,$B$23/1000-2*(A32-$A$34)*$J$18/$J$17)</f>
        <v>0</v>
      </c>
      <c r="I32" s="123">
        <f>IF(ISERROR(E32/SQRT($B$8*B32/($B$23/1000))),0,E32/SQRT($B$8*B32/H32))</f>
        <v>0</v>
      </c>
      <c r="J32" s="118">
        <f t="shared" si="2"/>
        <v>0</v>
      </c>
      <c r="K32" s="124">
        <f t="shared" ref="K32:K46" si="4">9.81*$B$6*D32</f>
        <v>0</v>
      </c>
      <c r="L32" s="6"/>
      <c r="M32" s="301"/>
      <c r="N32" s="302"/>
      <c r="O32" s="8"/>
      <c r="P32" s="8"/>
      <c r="Q32" s="8"/>
      <c r="R32" s="8"/>
      <c r="S32" s="8"/>
    </row>
    <row r="33" spans="1:19" ht="21.6" customHeight="1">
      <c r="A33" s="266">
        <f>IF($B$24&lt;=0,0,IF(AND(J17&lt;=0,J18&lt;=0),0,A34+$J$18/3))</f>
        <v>0</v>
      </c>
      <c r="B33" s="126">
        <f>IF(A33&lt;=0,0,$B$34+($B$23/1000+$B$23/1000-2*(A33-$A$34)*$J$18/$J$17)/2*(A33-$A$34))</f>
        <v>0</v>
      </c>
      <c r="C33" s="126">
        <f>IF(A33&lt;=0,0,$C$34+2*SQRT(POWER($J$17/$J$18*(A33-$A$34),2)+POWER((A33-$A$34),2)))</f>
        <v>0</v>
      </c>
      <c r="D33" s="126">
        <f t="shared" si="0"/>
        <v>0</v>
      </c>
      <c r="E33" s="126">
        <f>IF(ISERROR(IF(A33&lt;=0,0,-2*LOG(2.51*$B$9/(4*D33*SQRT(8*$B$8*D33*$B$6/1000))+$B$7/(1000*(14.84*D33)))*SQRT(8*$B$8*D33*$B$6/1000))),0,IF(A33&lt;=0,0,-2*LOG(2.51*$B$9/(4*D33*SQRT(8*$B$8*D33*$B$6/1000))+$B$7/(1000*(14.84*D33)))*SQRT(8*$B$8*D33*$B$6/1000)))</f>
        <v>0</v>
      </c>
      <c r="F33" s="127">
        <f t="shared" si="1"/>
        <v>0</v>
      </c>
      <c r="G33" s="128">
        <f t="shared" si="3"/>
        <v>0</v>
      </c>
      <c r="H33" s="128">
        <f>IF(AND(J17&lt;=0,J18&lt;=0),0,$B$23/1000-2*(A33-$A$34)*$J$18/$J$17)</f>
        <v>0</v>
      </c>
      <c r="I33" s="128">
        <f>IF(ISERROR(E33/SQRT($B$8*B33/($B$23/1000))),0,E33/SQRT($B$8*B33/H33))</f>
        <v>0</v>
      </c>
      <c r="J33" s="126">
        <f t="shared" si="2"/>
        <v>0</v>
      </c>
      <c r="K33" s="131">
        <f t="shared" si="4"/>
        <v>0</v>
      </c>
      <c r="L33" s="54"/>
      <c r="M33" s="301"/>
      <c r="N33" s="302"/>
      <c r="O33" s="8"/>
      <c r="P33" s="8"/>
      <c r="Q33" s="8"/>
      <c r="R33" s="8"/>
      <c r="S33" s="8"/>
    </row>
    <row r="34" spans="1:19" ht="21.6" customHeight="1">
      <c r="A34" s="201">
        <f t="shared" ref="A34:A42" si="5">IF($B$24&lt;=0,0,($B$24/1000-$J$18-$J$19)/10+A35)</f>
        <v>0</v>
      </c>
      <c r="B34" s="26">
        <f t="shared" ref="B34:B43" si="6">IF(A34&lt;=0,0,B35+(A34-A35)*$B$23/1000)</f>
        <v>0</v>
      </c>
      <c r="C34" s="47">
        <f>IF(A34&lt;=0,0,IF(AND($J$17&lt;=0,$J$18&lt;=0,$J$19&lt;=0,$J$20&lt;=0),2*$B$23/1000+2*A34,(A34-A35)*2+C35))</f>
        <v>0</v>
      </c>
      <c r="D34" s="26">
        <f t="shared" si="0"/>
        <v>0</v>
      </c>
      <c r="E34" s="26">
        <f>IF(ISERROR(IF(A34&lt;=0,0,-2*LOG(2.51*$B$9/(4*D34*SQRT(8*$B$8*D34*$B$6/1000))+$B$7/(1000*(14.84*D34)))*SQRT(8*$B$8*D34*$B$6/1000))),0,IF(A34&lt;=0,0,-2*LOG(2.51*$B$9/(4*D34*SQRT(8*$B$8*D34*$B$6/1000))+$B$7/(1000*(14.84*D34)))*SQRT(8*$B$8*D34*$B$6/1000)))</f>
        <v>0</v>
      </c>
      <c r="F34" s="25">
        <f t="shared" si="1"/>
        <v>0</v>
      </c>
      <c r="G34" s="205">
        <f t="shared" si="3"/>
        <v>0</v>
      </c>
      <c r="H34" s="56">
        <f t="shared" ref="H34:H42" si="7">$B$23/1000</f>
        <v>0</v>
      </c>
      <c r="I34" s="49">
        <f>IF(ISERROR(E34/SQRT($B$8*B34/($B$23/1000))),0,E34/SQRT($B$8*B34/H34))</f>
        <v>0</v>
      </c>
      <c r="J34" s="26">
        <f t="shared" si="2"/>
        <v>0</v>
      </c>
      <c r="K34" s="109">
        <f t="shared" si="4"/>
        <v>0</v>
      </c>
      <c r="L34" s="6"/>
      <c r="M34" s="6"/>
      <c r="N34" s="9"/>
      <c r="O34" s="300"/>
      <c r="P34" s="300"/>
      <c r="Q34" s="300"/>
      <c r="R34" s="8"/>
      <c r="S34" s="8"/>
    </row>
    <row r="35" spans="1:19" ht="21.6" customHeight="1">
      <c r="A35" s="268">
        <f t="shared" si="5"/>
        <v>0</v>
      </c>
      <c r="B35" s="51">
        <f t="shared" si="6"/>
        <v>0</v>
      </c>
      <c r="C35" s="51">
        <f t="shared" ref="C35:C42" si="8">IF(A35&lt;=0,0,IF(AND($J$17&lt;=0,$J$18&lt;=0,$J$19&lt;=0,$J$20&lt;=0),$B$23/1000+2*A35,(A35-A36)*2+C36))</f>
        <v>0</v>
      </c>
      <c r="D35" s="26">
        <f t="shared" si="0"/>
        <v>0</v>
      </c>
      <c r="E35" s="26">
        <f t="shared" ref="E35:E46" si="9">IF(ISERROR(IF(A35&lt;=0,0,-2*LOG(2.51*$B$9/(4*D35*SQRT(8*$B$8*D35*$B$6/1000))+$B$7/(1000*(14.84*D35)))*SQRT(8*$B$8*D35*$B$6/1000))),0,IF(A35&lt;=0,0,-2*LOG(2.51*$B$9/(4*D35*SQRT(8*$B$8*D35*$B$6/1000))+$B$7/(1000*(14.84*D35)))*SQRT(8*$B$8*D35*$B$6/1000)))</f>
        <v>0</v>
      </c>
      <c r="F35" s="25">
        <f t="shared" si="1"/>
        <v>0</v>
      </c>
      <c r="G35" s="204">
        <f t="shared" si="3"/>
        <v>0</v>
      </c>
      <c r="H35" s="50">
        <f t="shared" si="7"/>
        <v>0</v>
      </c>
      <c r="I35" s="50">
        <f t="shared" ref="I35:I46" si="10">IF(ISERROR(E35/SQRT($B$8*B35/($B$23/1000))),0,E35/SQRT($B$8*B35/H35))</f>
        <v>0</v>
      </c>
      <c r="J35" s="51">
        <f t="shared" si="2"/>
        <v>0</v>
      </c>
      <c r="K35" s="109">
        <f t="shared" si="4"/>
        <v>0</v>
      </c>
      <c r="L35" s="6"/>
      <c r="M35" s="6"/>
      <c r="N35" s="9"/>
      <c r="O35" s="8"/>
      <c r="P35" s="8"/>
      <c r="Q35" s="8"/>
      <c r="R35" s="8"/>
      <c r="S35" s="8"/>
    </row>
    <row r="36" spans="1:19" ht="21.6" customHeight="1">
      <c r="A36" s="268">
        <f t="shared" si="5"/>
        <v>0</v>
      </c>
      <c r="B36" s="51">
        <f t="shared" si="6"/>
        <v>0</v>
      </c>
      <c r="C36" s="51">
        <f>IF(A36&lt;=0,0,IF(AND($J$17&lt;=0,$J$18&lt;=0,$J$19&lt;=0,$J$20&lt;=0),$B$23/1000+2*A36,(A36-A37)*2+C37))</f>
        <v>0</v>
      </c>
      <c r="D36" s="26">
        <f t="shared" si="0"/>
        <v>0</v>
      </c>
      <c r="E36" s="26">
        <f t="shared" si="9"/>
        <v>0</v>
      </c>
      <c r="F36" s="25">
        <f t="shared" si="1"/>
        <v>0</v>
      </c>
      <c r="G36" s="204">
        <f t="shared" si="3"/>
        <v>0</v>
      </c>
      <c r="H36" s="50">
        <f>$B$23/1000</f>
        <v>0</v>
      </c>
      <c r="I36" s="50">
        <f t="shared" si="10"/>
        <v>0</v>
      </c>
      <c r="J36" s="51">
        <f t="shared" si="2"/>
        <v>0</v>
      </c>
      <c r="K36" s="109">
        <f t="shared" si="4"/>
        <v>0</v>
      </c>
      <c r="L36" s="6"/>
      <c r="M36" s="301">
        <f>IF(B23&lt;=0,0,IF(AND(J17&lt;=0,J18&lt;=0,J19&lt;=0,J20&lt;=0),"HN","Rechteckquerschnitt"))</f>
        <v>0</v>
      </c>
      <c r="N36" s="9"/>
      <c r="O36" s="8"/>
      <c r="P36" s="8"/>
      <c r="Q36" s="8"/>
      <c r="R36" s="8"/>
      <c r="S36" s="8"/>
    </row>
    <row r="37" spans="1:19" ht="21.6" customHeight="1">
      <c r="A37" s="268">
        <f t="shared" si="5"/>
        <v>0</v>
      </c>
      <c r="B37" s="51">
        <f t="shared" si="6"/>
        <v>0</v>
      </c>
      <c r="C37" s="51">
        <f t="shared" si="8"/>
        <v>0</v>
      </c>
      <c r="D37" s="26">
        <f t="shared" si="0"/>
        <v>0</v>
      </c>
      <c r="E37" s="26">
        <f t="shared" si="9"/>
        <v>0</v>
      </c>
      <c r="F37" s="25">
        <f t="shared" si="1"/>
        <v>0</v>
      </c>
      <c r="G37" s="204">
        <f t="shared" si="3"/>
        <v>0</v>
      </c>
      <c r="H37" s="50">
        <f t="shared" si="7"/>
        <v>0</v>
      </c>
      <c r="I37" s="50">
        <f t="shared" si="10"/>
        <v>0</v>
      </c>
      <c r="J37" s="51">
        <f t="shared" si="2"/>
        <v>0</v>
      </c>
      <c r="K37" s="109">
        <f t="shared" si="4"/>
        <v>0</v>
      </c>
      <c r="L37" s="6"/>
      <c r="M37" s="301"/>
      <c r="N37" s="302">
        <f>IF(B24&lt;=0,0,B24/1000-J18-J19)</f>
        <v>0</v>
      </c>
      <c r="O37" s="8"/>
      <c r="P37" s="8"/>
      <c r="Q37" s="8"/>
      <c r="R37" s="8"/>
      <c r="S37" s="8"/>
    </row>
    <row r="38" spans="1:19" ht="21.6" customHeight="1">
      <c r="A38" s="268">
        <f t="shared" si="5"/>
        <v>0</v>
      </c>
      <c r="B38" s="51">
        <f t="shared" si="6"/>
        <v>0</v>
      </c>
      <c r="C38" s="51">
        <f t="shared" si="8"/>
        <v>0</v>
      </c>
      <c r="D38" s="26">
        <f t="shared" si="0"/>
        <v>0</v>
      </c>
      <c r="E38" s="26">
        <f t="shared" si="9"/>
        <v>0</v>
      </c>
      <c r="F38" s="25">
        <f t="shared" si="1"/>
        <v>0</v>
      </c>
      <c r="G38" s="204">
        <f t="shared" si="3"/>
        <v>0</v>
      </c>
      <c r="H38" s="50">
        <f t="shared" si="7"/>
        <v>0</v>
      </c>
      <c r="I38" s="50">
        <f t="shared" si="10"/>
        <v>0</v>
      </c>
      <c r="J38" s="51">
        <f t="shared" si="2"/>
        <v>0</v>
      </c>
      <c r="K38" s="109">
        <f t="shared" si="4"/>
        <v>0</v>
      </c>
      <c r="L38" s="6"/>
      <c r="M38" s="301"/>
      <c r="N38" s="302"/>
      <c r="O38" s="8"/>
      <c r="P38" s="8"/>
      <c r="Q38" s="8"/>
      <c r="R38" s="8"/>
      <c r="S38" s="8"/>
    </row>
    <row r="39" spans="1:19" ht="21.6" customHeight="1">
      <c r="A39" s="268">
        <f t="shared" si="5"/>
        <v>0</v>
      </c>
      <c r="B39" s="51">
        <f t="shared" si="6"/>
        <v>0</v>
      </c>
      <c r="C39" s="51">
        <f t="shared" si="8"/>
        <v>0</v>
      </c>
      <c r="D39" s="26">
        <f t="shared" si="0"/>
        <v>0</v>
      </c>
      <c r="E39" s="26">
        <f t="shared" si="9"/>
        <v>0</v>
      </c>
      <c r="F39" s="25">
        <f t="shared" si="1"/>
        <v>0</v>
      </c>
      <c r="G39" s="204">
        <f t="shared" si="3"/>
        <v>0</v>
      </c>
      <c r="H39" s="50">
        <f t="shared" si="7"/>
        <v>0</v>
      </c>
      <c r="I39" s="50">
        <f t="shared" si="10"/>
        <v>0</v>
      </c>
      <c r="J39" s="51">
        <f t="shared" si="2"/>
        <v>0</v>
      </c>
      <c r="K39" s="109">
        <f t="shared" si="4"/>
        <v>0</v>
      </c>
      <c r="L39" s="6"/>
      <c r="M39" s="301"/>
      <c r="N39" s="302"/>
      <c r="O39" s="8"/>
      <c r="P39" s="8"/>
      <c r="Q39" s="8"/>
      <c r="R39" s="8"/>
      <c r="S39" s="8"/>
    </row>
    <row r="40" spans="1:19" ht="21.6" customHeight="1">
      <c r="A40" s="268">
        <f t="shared" si="5"/>
        <v>0</v>
      </c>
      <c r="B40" s="51">
        <f t="shared" si="6"/>
        <v>0</v>
      </c>
      <c r="C40" s="51">
        <f t="shared" si="8"/>
        <v>0</v>
      </c>
      <c r="D40" s="26">
        <f t="shared" si="0"/>
        <v>0</v>
      </c>
      <c r="E40" s="26">
        <f t="shared" si="9"/>
        <v>0</v>
      </c>
      <c r="F40" s="25">
        <f t="shared" si="1"/>
        <v>0</v>
      </c>
      <c r="G40" s="204">
        <f t="shared" si="3"/>
        <v>0</v>
      </c>
      <c r="H40" s="50">
        <f t="shared" si="7"/>
        <v>0</v>
      </c>
      <c r="I40" s="50">
        <f t="shared" si="10"/>
        <v>0</v>
      </c>
      <c r="J40" s="51">
        <f t="shared" si="2"/>
        <v>0</v>
      </c>
      <c r="K40" s="109">
        <f t="shared" si="4"/>
        <v>0</v>
      </c>
      <c r="L40" s="6"/>
      <c r="M40" s="301"/>
      <c r="N40" s="302"/>
      <c r="O40" s="8"/>
      <c r="P40" s="8"/>
      <c r="Q40" s="8"/>
      <c r="R40" s="8"/>
      <c r="S40" s="8"/>
    </row>
    <row r="41" spans="1:19" ht="21.6" customHeight="1">
      <c r="A41" s="268">
        <f t="shared" si="5"/>
        <v>0</v>
      </c>
      <c r="B41" s="51">
        <f t="shared" si="6"/>
        <v>0</v>
      </c>
      <c r="C41" s="51">
        <f t="shared" si="8"/>
        <v>0</v>
      </c>
      <c r="D41" s="26">
        <f t="shared" si="0"/>
        <v>0</v>
      </c>
      <c r="E41" s="26">
        <f t="shared" si="9"/>
        <v>0</v>
      </c>
      <c r="F41" s="25">
        <f t="shared" si="1"/>
        <v>0</v>
      </c>
      <c r="G41" s="204">
        <f t="shared" si="3"/>
        <v>0</v>
      </c>
      <c r="H41" s="50">
        <f t="shared" si="7"/>
        <v>0</v>
      </c>
      <c r="I41" s="50">
        <f t="shared" si="10"/>
        <v>0</v>
      </c>
      <c r="J41" s="51">
        <f t="shared" si="2"/>
        <v>0</v>
      </c>
      <c r="K41" s="109">
        <f t="shared" si="4"/>
        <v>0</v>
      </c>
      <c r="L41" s="6"/>
      <c r="M41" s="301"/>
      <c r="N41" s="9"/>
      <c r="O41" s="8"/>
      <c r="P41" s="8"/>
      <c r="Q41" s="8"/>
      <c r="R41" s="8"/>
      <c r="S41" s="8"/>
    </row>
    <row r="42" spans="1:19" ht="21.6" customHeight="1">
      <c r="A42" s="268">
        <f t="shared" si="5"/>
        <v>0</v>
      </c>
      <c r="B42" s="51">
        <f>IF(A42&lt;=0,0,B43+(A42-A43)*$B$23/1000)</f>
        <v>0</v>
      </c>
      <c r="C42" s="51">
        <f t="shared" si="8"/>
        <v>0</v>
      </c>
      <c r="D42" s="26">
        <f t="shared" si="0"/>
        <v>0</v>
      </c>
      <c r="E42" s="26">
        <f t="shared" si="9"/>
        <v>0</v>
      </c>
      <c r="F42" s="25">
        <f t="shared" si="1"/>
        <v>0</v>
      </c>
      <c r="G42" s="204">
        <f t="shared" si="3"/>
        <v>0</v>
      </c>
      <c r="H42" s="50">
        <f t="shared" si="7"/>
        <v>0</v>
      </c>
      <c r="I42" s="50">
        <f t="shared" si="10"/>
        <v>0</v>
      </c>
      <c r="J42" s="51">
        <f t="shared" si="2"/>
        <v>0</v>
      </c>
      <c r="K42" s="109">
        <f t="shared" si="4"/>
        <v>0</v>
      </c>
      <c r="L42" s="6"/>
      <c r="M42" s="6"/>
      <c r="N42" s="9"/>
      <c r="O42" s="300"/>
      <c r="P42" s="300"/>
      <c r="Q42" s="300"/>
      <c r="R42" s="8"/>
      <c r="S42" s="8"/>
    </row>
    <row r="43" spans="1:19" ht="21.6" customHeight="1">
      <c r="A43" s="269">
        <f>IF($B$24&lt;=0,0,($B$24/1000-$J$18-$J$19)/10+A44)</f>
        <v>0</v>
      </c>
      <c r="B43" s="28">
        <f t="shared" si="6"/>
        <v>0</v>
      </c>
      <c r="C43" s="28">
        <f>IF(A43&lt;=0,0,IF(AND($J$17&lt;=0,$J$18&lt;=0,$J$19&lt;=0,$J$20&lt;=0),$B$23/1000+2*A43,(A43-A44)*2+C44))</f>
        <v>0</v>
      </c>
      <c r="D43" s="28">
        <f t="shared" si="0"/>
        <v>0</v>
      </c>
      <c r="E43" s="28">
        <f t="shared" si="9"/>
        <v>0</v>
      </c>
      <c r="F43" s="27">
        <f t="shared" si="1"/>
        <v>0</v>
      </c>
      <c r="G43" s="206">
        <f t="shared" si="3"/>
        <v>0</v>
      </c>
      <c r="H43" s="55">
        <f>$B$23/1000</f>
        <v>0</v>
      </c>
      <c r="I43" s="55">
        <f t="shared" si="10"/>
        <v>0</v>
      </c>
      <c r="J43" s="28">
        <f t="shared" si="2"/>
        <v>0</v>
      </c>
      <c r="K43" s="110">
        <f t="shared" si="4"/>
        <v>0</v>
      </c>
      <c r="L43" s="54"/>
      <c r="M43" s="6"/>
      <c r="N43" s="9"/>
      <c r="O43" s="8"/>
      <c r="P43" s="8"/>
      <c r="Q43" s="8"/>
      <c r="R43" s="8"/>
      <c r="S43" s="8"/>
    </row>
    <row r="44" spans="1:19" ht="21.6" customHeight="1">
      <c r="A44" s="202">
        <f>IF($B$24&lt;=0,0,IF(AND(J19&lt;=0,J20&lt;=0),0,J19/3+A45))</f>
        <v>0</v>
      </c>
      <c r="B44" s="120">
        <f>IF(A44&lt;=0,0,($B$23/1000-2*J20+2*A44*J20/J19+$B$23/1000-2*J20)/2*A44)</f>
        <v>0</v>
      </c>
      <c r="C44" s="120">
        <f>IF(A44&lt;=0,0,$B$23/1000-2*$J$20+2*SQRT(POWER(A44,2)+POWER((A44*$J$20/$J$19),2)))</f>
        <v>0</v>
      </c>
      <c r="D44" s="119">
        <f t="shared" si="0"/>
        <v>0</v>
      </c>
      <c r="E44" s="120">
        <f t="shared" si="9"/>
        <v>0</v>
      </c>
      <c r="F44" s="121">
        <f t="shared" si="1"/>
        <v>0</v>
      </c>
      <c r="G44" s="122">
        <f t="shared" si="3"/>
        <v>0</v>
      </c>
      <c r="H44" s="130">
        <f>IF(A44&lt;=0,0,2*A44*$J$20/$J$19+$B$23/1000-2*$J$20)</f>
        <v>0</v>
      </c>
      <c r="I44" s="130">
        <f t="shared" si="10"/>
        <v>0</v>
      </c>
      <c r="J44" s="119">
        <f t="shared" si="2"/>
        <v>0</v>
      </c>
      <c r="K44" s="124">
        <f t="shared" si="4"/>
        <v>0</v>
      </c>
      <c r="L44" s="6"/>
      <c r="M44" s="301">
        <f>IF(AND(J19&lt;=0,J20&lt;=0),0,"Voute")</f>
        <v>0</v>
      </c>
      <c r="N44" s="302">
        <f>IF(AND(J19&lt;=0,J20&lt;=0),0,J19)</f>
        <v>0</v>
      </c>
      <c r="O44" s="8"/>
      <c r="P44" s="8"/>
      <c r="Q44" s="8"/>
      <c r="R44" s="8"/>
      <c r="S44" s="8"/>
    </row>
    <row r="45" spans="1:19" ht="21.6" customHeight="1">
      <c r="A45" s="202">
        <f>IF($B$24&lt;=0,0,IF(AND(J19&lt;=0,J20&lt;=0),0,J19/3+A46))</f>
        <v>0</v>
      </c>
      <c r="B45" s="118">
        <f>IF(A45&lt;=0,0,($B$23/1000-2*J20+2*A45*J20/J19+$B$23/1000-2*J20)/2*A45)</f>
        <v>0</v>
      </c>
      <c r="C45" s="118">
        <f>IF(A45&lt;=0,0,$B$23/1000-2*$J$20+2*SQRT(POWER(A45,2)+POWER((A45*$J$20/$J$19),2)))</f>
        <v>0</v>
      </c>
      <c r="D45" s="118">
        <f t="shared" si="0"/>
        <v>0</v>
      </c>
      <c r="E45" s="118">
        <f t="shared" si="9"/>
        <v>0</v>
      </c>
      <c r="F45" s="125">
        <f t="shared" si="1"/>
        <v>0</v>
      </c>
      <c r="G45" s="123">
        <f t="shared" si="3"/>
        <v>0</v>
      </c>
      <c r="H45" s="123">
        <f>IF(A45&lt;=0,0,2*A45*$J$20/$J$19+$B$23/1000-2*$J$20)</f>
        <v>0</v>
      </c>
      <c r="I45" s="123">
        <f t="shared" si="10"/>
        <v>0</v>
      </c>
      <c r="J45" s="118">
        <f t="shared" si="2"/>
        <v>0</v>
      </c>
      <c r="K45" s="124">
        <f t="shared" si="4"/>
        <v>0</v>
      </c>
      <c r="L45" s="6"/>
      <c r="M45" s="327"/>
      <c r="N45" s="302"/>
      <c r="O45" s="8"/>
      <c r="P45" s="207"/>
      <c r="Q45" s="8"/>
      <c r="R45" s="8"/>
      <c r="S45" s="8"/>
    </row>
    <row r="46" spans="1:19" ht="21.6" customHeight="1">
      <c r="A46" s="266">
        <f>IF($B$24&lt;=0,0,IF(AND(J19&lt;=0,J19&lt;=0),0,J19/3))</f>
        <v>0</v>
      </c>
      <c r="B46" s="126">
        <f>IF(A46&lt;=0,0,($B$23/1000-2*J20+2*A46*J19/J20+$B$23/1000-2*J20)/2*A46)</f>
        <v>0</v>
      </c>
      <c r="C46" s="126">
        <f>IF(A46&lt;=0,0,$B$23/1000-2*$J$20+2*SQRT(POWER(A46,2)+POWER((A46*$J$20/$J$19),2)))</f>
        <v>0</v>
      </c>
      <c r="D46" s="126">
        <f t="shared" si="0"/>
        <v>0</v>
      </c>
      <c r="E46" s="126">
        <f t="shared" si="9"/>
        <v>0</v>
      </c>
      <c r="F46" s="127">
        <f t="shared" si="1"/>
        <v>0</v>
      </c>
      <c r="G46" s="128">
        <f t="shared" si="3"/>
        <v>0</v>
      </c>
      <c r="H46" s="128">
        <f>IF(A46&lt;=0,0,2*A46*$J$20/$J$19+$B$23/1000-2*$J$20)</f>
        <v>0</v>
      </c>
      <c r="I46" s="128">
        <f t="shared" si="10"/>
        <v>0</v>
      </c>
      <c r="J46" s="126">
        <f t="shared" si="2"/>
        <v>0</v>
      </c>
      <c r="K46" s="124">
        <f t="shared" si="4"/>
        <v>0</v>
      </c>
      <c r="L46" s="6"/>
      <c r="M46" s="327"/>
      <c r="N46" s="302"/>
      <c r="O46" s="8"/>
      <c r="P46" s="8"/>
      <c r="Q46" s="8"/>
      <c r="R46" s="8"/>
      <c r="S46" s="8"/>
    </row>
    <row r="47" spans="1:19" ht="15" customHeight="1">
      <c r="A47" s="57"/>
      <c r="B47" s="58"/>
      <c r="C47" s="58"/>
      <c r="D47" s="58"/>
      <c r="E47" s="58"/>
      <c r="F47" s="58"/>
      <c r="G47" s="59"/>
      <c r="H47" s="59"/>
      <c r="I47" s="59"/>
      <c r="J47" s="106"/>
      <c r="K47" s="106"/>
      <c r="L47" s="6"/>
      <c r="M47" s="6"/>
      <c r="N47" s="9"/>
      <c r="O47" s="8"/>
      <c r="P47" s="207"/>
      <c r="Q47" s="8"/>
      <c r="R47" s="8"/>
      <c r="S47" s="8"/>
    </row>
    <row r="48" spans="1:19" ht="21" customHeight="1">
      <c r="A48" s="114" t="s">
        <v>131</v>
      </c>
      <c r="B48" s="60"/>
      <c r="C48" s="60"/>
      <c r="D48" s="60"/>
      <c r="E48" s="60"/>
      <c r="F48" s="60"/>
      <c r="G48" s="11"/>
      <c r="H48" s="11"/>
      <c r="I48" s="59"/>
      <c r="J48" s="58"/>
      <c r="K48" s="58"/>
      <c r="L48" s="6"/>
      <c r="M48" s="6"/>
      <c r="N48" s="9"/>
      <c r="O48" s="8"/>
      <c r="P48" s="8"/>
      <c r="Q48" s="8"/>
      <c r="R48" s="8"/>
      <c r="S48" s="8"/>
    </row>
    <row r="49" spans="1:20" ht="21" customHeight="1">
      <c r="A49" s="313" t="s">
        <v>73</v>
      </c>
      <c r="B49" s="314"/>
      <c r="C49" s="314"/>
      <c r="D49" s="60"/>
      <c r="E49" s="60"/>
      <c r="F49" s="60"/>
      <c r="G49" s="11"/>
      <c r="H49" s="11"/>
      <c r="I49" s="59"/>
      <c r="J49" s="58"/>
      <c r="K49" s="58"/>
      <c r="L49" s="6"/>
      <c r="M49" s="6"/>
      <c r="N49" s="9"/>
      <c r="O49" s="8"/>
      <c r="P49" s="207"/>
      <c r="Q49" s="8"/>
      <c r="R49" s="8"/>
      <c r="S49" s="8"/>
    </row>
    <row r="50" spans="1:20" ht="21.6" customHeight="1">
      <c r="A50" s="132"/>
      <c r="B50" s="81">
        <f>IF(AND(A50&gt;0,A50&lt;=$A$44),($B$23/1000-2*$J$20+2*A50*$J$20/$J$19+$B$23/1000-2*$J$20)/2*A50,IF(AND(A50&gt;$A$44,A50&lt;=$A$34),$B$44+(A50-$A$44)*$B$23/1000,IF(AND(A50&gt;$A$34,A50&lt;=$A$31),$B$34+($B$23/1000+$B$23/1000-2*(A50-$A$34)*$J$17/$J$18)/2*(A50-$A$34),0)))</f>
        <v>0</v>
      </c>
      <c r="C50" s="81">
        <f>IF(A50&lt;=0,0,IF(AND(A50&gt;0,A50&lt;=$A$44),$B$23/1000-2*$J$20+2*SQRT(POWER(A50,2)+POWER((A50*$J$20/$J$19),2)),IF(AND(A50&gt;$A$44,A50&lt;=$A$34,$J$19&gt;0,$J$20&gt;0),(A50-$A$44)*2+$C$44,IF(AND(A50&gt;$A$34,A50&lt;=$A$31),$C$34+2*SQRT(POWER($J$17/$J$18*(A50-$A$34),2)+POWER((A50-$A$34),2)),IF(AND($J$17&lt;=0,$J$18&lt;=0,$J$19&lt;=0,$J$20&lt;=0,A50&lt;A34),$B$23/1000+2*A50,IF(A50=$A$34,2*$A$34+2*$B$23/1000))))))</f>
        <v>0</v>
      </c>
      <c r="D50" s="81">
        <f>IF(ISERROR(B50/C50),0,B50/C50)</f>
        <v>0</v>
      </c>
      <c r="E50" s="81">
        <f>IF(ISERROR(IF(B50&lt;=0,0,-2*LOG(2.51*$B$9/(4*D50*SQRT(8*$B$8*D50*$B$6/1000))+$B$7/(1000*(14.84*D50)))*SQRT(8*$B$8*D50*$B$6/1000))),0,IF(B50&lt;=0,0,-2*LOG(2.51*$B$9/(4*D50*SQRT(8*$B$8*D50*$B$6/1000))+$B$7/(1000*(14.84*D50)))*SQRT(8*$B$8*D50*$B$6/1000)))</f>
        <v>0</v>
      </c>
      <c r="F50" s="82">
        <f>E50*B50</f>
        <v>0</v>
      </c>
      <c r="G50" s="208">
        <f>IF(ISERROR(F50/$F$26),0,F50/$F$26)</f>
        <v>0</v>
      </c>
      <c r="H50" s="83">
        <f>IF(AND(A50&gt;0,A50&lt;=A44),2*A50*$J$20/$J$19+$B$23/1000-2*$J$20,IF(AND(A50&gt;A44,A50&lt;=A34),$B$23/1000,IF(AND(A50&gt;A34,A50&lt;=A31),$B$23/1000-2*(A32-$A$34)*$J$18/$J$17,0)))</f>
        <v>0</v>
      </c>
      <c r="I50" s="83">
        <f>IF(ISERROR(IF(A50&lt;=L19,E50/SQRT($B$8*B50/($B$23/1000-2*L20+A50*2*SQRT(1+L20/L19))),IF(AND(A50&gt;L19,A50&lt;=$B$24/1000-L18),E50/SQRT($B$8*B50/($B$23/1000)),IF(A50&gt;$B$24/1000-L18,E50/SQRT($B$8*B50/($B$23/1000-2*($B$24/1000-A50)*SQRT(1+POWER(L17/L18,2)))))))),0,IF(A50&lt;=L19,E50/SQRT($B$8*B50/($B$23/1000-2*L20+A50*2*SQRT(1+L20/L19))),IF(AND(A50&gt;L19,A50&lt;=$B$24/1000-L18),E50/SQRT($B$8*B50/($B$23/1000)),IF(A50&gt;$B$24/1000-L18,E50/SQRT($B$8*B50/($B$23/1000-2*($B$24/1000-A50)*SQRT(1+POWER(L17/L18,2))))))))</f>
        <v>0</v>
      </c>
      <c r="J50" s="81">
        <f>IF(B50&lt;=0,0,A50+POWER(E50,2)/(2*$B$8))</f>
        <v>0</v>
      </c>
      <c r="K50" s="115">
        <f>9.81*$B$6*D50</f>
        <v>0</v>
      </c>
      <c r="L50" s="7"/>
      <c r="M50" s="6"/>
      <c r="N50" s="9"/>
      <c r="O50" s="8"/>
      <c r="P50" s="8"/>
      <c r="Q50" s="45"/>
      <c r="R50" s="8"/>
      <c r="S50" s="8"/>
    </row>
    <row r="51" spans="1:20" ht="24.95" customHeight="1">
      <c r="A51" s="303" t="s">
        <v>74</v>
      </c>
      <c r="B51" s="304"/>
      <c r="C51" s="304"/>
      <c r="D51" s="304"/>
      <c r="E51" s="58"/>
      <c r="F51" s="133"/>
      <c r="G51" s="59"/>
      <c r="H51" s="59"/>
      <c r="I51" s="59"/>
      <c r="J51" s="58"/>
      <c r="K51" s="59"/>
      <c r="L51" s="7"/>
      <c r="M51" s="6"/>
      <c r="N51" s="9"/>
      <c r="O51" s="8"/>
      <c r="P51" s="8"/>
      <c r="Q51" s="45"/>
      <c r="R51" s="8"/>
      <c r="S51" s="8"/>
    </row>
    <row r="52" spans="1:20" ht="21.6" customHeight="1">
      <c r="A52" s="132"/>
      <c r="B52" s="283">
        <f>IF(AND(A52&gt;0,A52&lt;=$A$44),($B$23/1000-2*$J$20+2*A52*$J$20/$J$19+$B$23/1000-2*$J$20)/2*A52,IF(AND(A52&gt;$A$44,A52&lt;=$A$34),$B$44+(A52-$A$44)*$B$23/1000,IF(AND(A52&gt;$A$34,A52&lt;=$A$31),$B$34+($B$23/1000+$B$23/1000-2*(A52-$A$34)*$J$17/$J$18)/2*(A52-$A$34),0)))</f>
        <v>0</v>
      </c>
      <c r="C52" s="283">
        <f>IF(A52&lt;=0,0,IF(AND(A52&gt;0,A52&lt;=$A$44),$B$23/1000-2*$J$20+2*SQRT(POWER(A52,2)+POWER((A52*$J$20/$J$19),2)),IF(AND(A52&gt;$A$44,A52&lt;=$A$34,$J$19&gt;0,$J$20&gt;0),(A52-$A$44)*2+$C$44,IF(AND(A52&gt;$A$34,A52&lt;=$A$31),$C$34+2*SQRT(POWER($J$17/$J$18*(A52-$A$34),2)+POWER((A52-$A$34),2)),IF(AND($J$17&lt;=0,$J$18&lt;=0,$J$19&lt;=0,$J$20&lt;=0,A52&lt;A36),$B$23/1000+2*A52,IF(A52=$A$34,2*$A$34+2*$B$23/1000))))))</f>
        <v>0</v>
      </c>
      <c r="D52" s="283">
        <f>IF(ISERROR(B52/C52),0,B52/C52)</f>
        <v>0</v>
      </c>
      <c r="E52" s="283">
        <f>IF(ISERROR(IF(B52&lt;=0,0,-2*LOG(2.51*$B$9/(4*D52*SQRT(8*$B$8*D52*$B$6/1000))+$B$7/(1000*(14.84*D52)))*SQRT(8*$B$8*D52*$B$6/1000))),0,IF(B52&lt;=0,0,-2*LOG(2.51*$B$9/(4*D52*SQRT(8*$B$8*D52*$B$6/1000))+$B$7/(1000*(14.84*D52)))*SQRT(8*$B$8*D52*$B$6/1000)))</f>
        <v>0</v>
      </c>
      <c r="F52" s="284">
        <f>E52*B52</f>
        <v>0</v>
      </c>
      <c r="G52" s="285">
        <f>IF(ISERROR(F52/$F$26),0,F52/$F$26)</f>
        <v>0</v>
      </c>
      <c r="H52" s="285">
        <f>IF(AND(A52&gt;0,A52&lt;=A44),2*A52*$J$20/$J$19+$B$23/1000-2*$J$20,IF(AND(A52&gt;A44,A52&lt;=A34),$B$23/1000,IF(AND(A52&gt;A34,A52&lt;=A31),$B$23/1000-2*(A34-$A$34)*$J$18/$J$17,0)))</f>
        <v>0</v>
      </c>
      <c r="I52" s="285">
        <f>IF(ISERROR(IF(A52&lt;=L19,E52/SQRT($B$8*B52/($B$23/1000-2*L20+A52*2*SQRT(1+L20/L19))),IF(AND(A52&gt;L19,A52&lt;=$B$24/1000-L18),E52/SQRT($B$8*B52/($B$23/1000)),IF(A52&gt;$B$24/1000-L18,E52/SQRT($B$8*B52/($B$23/1000-2*($B$24/1000-A52)*SQRT(1+POWER(L17/L18,2)))))))),0,IF(A52&lt;=L19,E52/SQRT($B$8*B52/($B$23/1000-2*L20+A52*2*SQRT(1+L20/L19))),IF(AND(A52&gt;L19,A52&lt;=$B$24/1000-L18),E52/SQRT($B$8*B52/($B$23/1000)),IF(A52&gt;$B$24/1000-L18,E52/SQRT($B$8*B52/($B$23/1000-2*($B$24/1000-A52)*SQRT(1+POWER(L17/L18,2))))))))</f>
        <v>0</v>
      </c>
      <c r="J52" s="284">
        <f>IF(B52&lt;=0,0,A52+POWER(E52,2)/(2*$B$8))</f>
        <v>0</v>
      </c>
      <c r="K52" s="286">
        <f>9.81*$B$6*D52</f>
        <v>0</v>
      </c>
      <c r="L52" s="7"/>
      <c r="M52" s="6"/>
      <c r="N52" s="9"/>
      <c r="O52" s="8"/>
      <c r="P52" s="8"/>
      <c r="Q52" s="16"/>
      <c r="R52" s="8"/>
      <c r="S52" s="8"/>
    </row>
    <row r="53" spans="1:20" ht="15" customHeight="1">
      <c r="A53" s="61"/>
      <c r="B53" s="60"/>
      <c r="C53" s="60"/>
      <c r="D53" s="60"/>
      <c r="E53" s="60"/>
      <c r="F53" s="60"/>
      <c r="G53" s="11"/>
      <c r="H53" s="11"/>
      <c r="I53" s="6"/>
      <c r="J53" s="6"/>
      <c r="K53" s="6"/>
      <c r="L53" s="6"/>
      <c r="M53" s="6"/>
      <c r="N53" s="9"/>
      <c r="O53" s="8"/>
      <c r="P53" s="8"/>
      <c r="Q53" s="8"/>
      <c r="R53" s="8"/>
      <c r="S53" s="8"/>
    </row>
    <row r="54" spans="1:20" ht="21.6" customHeight="1">
      <c r="A54" s="62" t="s">
        <v>50</v>
      </c>
      <c r="B54" s="52">
        <f>IF(J52&lt;J26,J52,0)</f>
        <v>0</v>
      </c>
      <c r="C54" s="16" t="s">
        <v>65</v>
      </c>
      <c r="D54" s="34" t="s">
        <v>51</v>
      </c>
      <c r="E54" s="52">
        <f>IF(J26&gt;J52,J26,0)</f>
        <v>0</v>
      </c>
      <c r="F54" s="6" t="s">
        <v>8</v>
      </c>
      <c r="G54" s="6"/>
      <c r="H54" s="6"/>
      <c r="I54" s="6"/>
      <c r="J54" s="6"/>
      <c r="K54" s="6"/>
      <c r="L54" s="6"/>
      <c r="M54" s="6"/>
      <c r="N54" s="9"/>
      <c r="O54" s="8"/>
      <c r="P54" s="8"/>
      <c r="Q54" s="8"/>
      <c r="R54" s="8"/>
      <c r="S54" s="8"/>
    </row>
    <row r="55" spans="1:20" ht="21" customHeight="1">
      <c r="A55" s="63"/>
      <c r="B55" s="6" t="s">
        <v>52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9"/>
      <c r="O55" s="8"/>
      <c r="P55" s="8"/>
      <c r="Q55" s="8"/>
      <c r="R55" s="8"/>
      <c r="S55" s="8"/>
    </row>
    <row r="56" spans="1:20" ht="15" customHeight="1">
      <c r="A56" s="6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9"/>
      <c r="O56" s="8"/>
      <c r="P56" s="8"/>
      <c r="Q56" s="8"/>
      <c r="R56" s="8"/>
      <c r="S56" s="8"/>
    </row>
    <row r="57" spans="1:20" ht="21.6" customHeight="1">
      <c r="A57" s="62" t="s">
        <v>50</v>
      </c>
      <c r="B57" s="52">
        <f>IF(J52&lt;J26,J52,0)</f>
        <v>0</v>
      </c>
      <c r="C57" s="16" t="s">
        <v>66</v>
      </c>
      <c r="D57" s="34" t="s">
        <v>51</v>
      </c>
      <c r="E57" s="52">
        <f>IF(J26&gt;J52,J26,0)</f>
        <v>0</v>
      </c>
      <c r="F57" s="6" t="s">
        <v>8</v>
      </c>
      <c r="G57" s="6"/>
      <c r="H57" s="6"/>
      <c r="I57" s="6"/>
      <c r="J57" s="6"/>
      <c r="K57" s="6"/>
      <c r="L57" s="6"/>
      <c r="M57" s="6"/>
      <c r="N57" s="9"/>
      <c r="O57" s="8"/>
      <c r="P57" s="8"/>
      <c r="Q57" s="8"/>
      <c r="R57" s="8"/>
      <c r="S57" s="8"/>
    </row>
    <row r="58" spans="1:20" ht="21" customHeight="1">
      <c r="A58" s="63"/>
      <c r="B58" s="6" t="s">
        <v>53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9"/>
      <c r="O58" s="8"/>
      <c r="P58" s="8"/>
      <c r="Q58" s="8"/>
      <c r="R58" s="8"/>
      <c r="S58" s="8"/>
    </row>
    <row r="59" spans="1:20" ht="15" customHeight="1" thickBot="1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6"/>
      <c r="O59" s="8"/>
      <c r="P59" s="8"/>
      <c r="Q59" s="8"/>
      <c r="R59" s="8"/>
      <c r="S59" s="8"/>
    </row>
    <row r="60" spans="1:20" ht="12" customHeight="1">
      <c r="A60" s="149" t="s">
        <v>123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8"/>
      <c r="O60" s="8"/>
      <c r="P60" s="8"/>
      <c r="Q60" s="8"/>
      <c r="R60" s="8"/>
      <c r="S60" s="8"/>
      <c r="T60" s="8"/>
    </row>
    <row r="61" spans="1:20" ht="20.100000000000001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8"/>
      <c r="O61" s="8"/>
      <c r="P61" s="8"/>
      <c r="Q61" s="8"/>
      <c r="R61" s="8"/>
      <c r="S61" s="8"/>
      <c r="T61" s="8"/>
    </row>
    <row r="62" spans="1:20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8"/>
      <c r="O62" s="8"/>
      <c r="P62" s="8"/>
      <c r="Q62" s="8"/>
      <c r="R62" s="8"/>
      <c r="S62" s="8"/>
      <c r="T62" s="8"/>
    </row>
    <row r="63" spans="1:2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8"/>
      <c r="O63" s="8"/>
      <c r="P63" s="8"/>
      <c r="Q63" s="8"/>
      <c r="R63" s="8"/>
      <c r="S63" s="8"/>
      <c r="T63" s="8"/>
    </row>
    <row r="64" spans="1:2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8"/>
      <c r="O64" s="8"/>
      <c r="P64" s="8"/>
      <c r="Q64" s="8"/>
      <c r="R64" s="8"/>
      <c r="S64" s="8"/>
      <c r="T64" s="8"/>
    </row>
    <row r="65" spans="1:1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1:13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1:1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1:13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1:1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1:13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1:1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1:1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1:13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1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1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1:13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1:1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13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13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13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1:1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1:1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1:1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1:1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1:1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1:1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1:1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1:1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1:1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1:1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1:1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1:1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1:1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1:1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1:1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1:1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1:1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1:1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1:1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1:1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1:1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1:1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1:1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1:1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1:1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</row>
    <row r="123" spans="1:1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</row>
    <row r="124" spans="1:1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</row>
    <row r="125" spans="1:1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</row>
    <row r="126" spans="1:1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</row>
    <row r="127" spans="1:1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1:1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1:1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1:1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</row>
    <row r="131" spans="1:1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</row>
    <row r="132" spans="1:1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</row>
    <row r="133" spans="1:1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</row>
    <row r="134" spans="1:1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</row>
    <row r="135" spans="1:1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</row>
    <row r="136" spans="1:1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1:1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1:1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</row>
    <row r="140" spans="1:1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</row>
    <row r="141" spans="1:1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</row>
    <row r="142" spans="1:1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</row>
    <row r="143" spans="1:1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</row>
    <row r="145" spans="1:1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1:1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1:1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</row>
    <row r="149" spans="1:1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</row>
    <row r="150" spans="1:1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</row>
    <row r="151" spans="1:1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</sheetData>
  <sheetProtection password="826B" sheet="1"/>
  <mergeCells count="20">
    <mergeCell ref="L18:N18"/>
    <mergeCell ref="M36:M41"/>
    <mergeCell ref="M44:M46"/>
    <mergeCell ref="A1:A2"/>
    <mergeCell ref="B1:K1"/>
    <mergeCell ref="B2:K2"/>
    <mergeCell ref="A49:C49"/>
    <mergeCell ref="A13:F13"/>
    <mergeCell ref="I4:L4"/>
    <mergeCell ref="A4:C4"/>
    <mergeCell ref="L17:N17"/>
    <mergeCell ref="L29:M29"/>
    <mergeCell ref="L1:N2"/>
    <mergeCell ref="O42:Q42"/>
    <mergeCell ref="O34:Q34"/>
    <mergeCell ref="M31:M33"/>
    <mergeCell ref="N31:N33"/>
    <mergeCell ref="N44:N46"/>
    <mergeCell ref="A51:D51"/>
    <mergeCell ref="N37:N40"/>
  </mergeCells>
  <phoneticPr fontId="0" type="noConversion"/>
  <printOptions horizontalCentered="1" verticalCentered="1"/>
  <pageMargins left="0.78740157480314965" right="0" top="0.19685039370078741" bottom="0" header="0" footer="0"/>
  <pageSetup paperSize="9" scale="66" orientation="portrait" copies="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F8C0-988D-45AE-A96D-E14992F0CF19}">
  <dimension ref="A1:V156"/>
  <sheetViews>
    <sheetView showGridLines="0" showZeros="0" zoomScaleNormal="100" workbookViewId="0">
      <selection activeCell="B5" sqref="B5"/>
    </sheetView>
  </sheetViews>
  <sheetFormatPr baseColWidth="10" defaultRowHeight="12.75"/>
  <cols>
    <col min="1" max="1" width="10.7109375" style="2" customWidth="1"/>
    <col min="2" max="11" width="11.7109375" style="2" customWidth="1"/>
    <col min="12" max="12" width="3.7109375" style="2" customWidth="1"/>
    <col min="13" max="13" width="3.85546875" style="2" customWidth="1"/>
    <col min="14" max="14" width="4.7109375" style="2" customWidth="1"/>
    <col min="15" max="16384" width="11.42578125" style="2"/>
  </cols>
  <sheetData>
    <row r="1" spans="1:20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323"/>
      <c r="M1" s="323"/>
      <c r="N1" s="324"/>
      <c r="O1" s="139"/>
      <c r="P1" s="139"/>
      <c r="Q1" s="139"/>
      <c r="R1" s="139"/>
      <c r="S1" s="8"/>
      <c r="T1" s="8"/>
    </row>
    <row r="2" spans="1:20" ht="30" customHeight="1">
      <c r="A2" s="306"/>
      <c r="B2" s="310" t="s">
        <v>89</v>
      </c>
      <c r="C2" s="311"/>
      <c r="D2" s="311"/>
      <c r="E2" s="311"/>
      <c r="F2" s="311"/>
      <c r="G2" s="311"/>
      <c r="H2" s="311"/>
      <c r="I2" s="311"/>
      <c r="J2" s="311"/>
      <c r="K2" s="312"/>
      <c r="L2" s="325"/>
      <c r="M2" s="325"/>
      <c r="N2" s="326"/>
      <c r="O2" s="139"/>
      <c r="P2" s="139"/>
      <c r="Q2" s="139"/>
      <c r="R2" s="139"/>
      <c r="S2" s="8"/>
      <c r="T2" s="8"/>
    </row>
    <row r="3" spans="1:20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2"/>
      <c r="O3" s="139"/>
      <c r="P3" s="139"/>
      <c r="Q3" s="139"/>
      <c r="R3" s="139"/>
      <c r="S3" s="8"/>
      <c r="T3" s="8"/>
    </row>
    <row r="4" spans="1:20" ht="20.100000000000001" customHeight="1">
      <c r="A4" s="318" t="s">
        <v>59</v>
      </c>
      <c r="B4" s="319"/>
      <c r="C4" s="319"/>
      <c r="D4" s="6"/>
      <c r="E4" s="6"/>
      <c r="F4" s="6"/>
      <c r="G4" s="36"/>
      <c r="H4" s="36"/>
      <c r="I4" s="317"/>
      <c r="J4" s="317"/>
      <c r="K4" s="317"/>
      <c r="L4" s="317"/>
      <c r="M4" s="36"/>
      <c r="N4" s="135"/>
      <c r="O4" s="101"/>
      <c r="P4" s="8"/>
      <c r="Q4" s="8"/>
      <c r="R4" s="8"/>
      <c r="S4" s="8"/>
      <c r="T4" s="8"/>
    </row>
    <row r="5" spans="1:20" ht="20.100000000000001" customHeight="1">
      <c r="A5" s="5" t="s">
        <v>28</v>
      </c>
      <c r="B5" s="148"/>
      <c r="C5" s="6" t="s">
        <v>29</v>
      </c>
      <c r="D5" s="6" t="s">
        <v>42</v>
      </c>
      <c r="E5" s="6"/>
      <c r="F5" s="6"/>
      <c r="G5" s="36"/>
      <c r="H5" s="36"/>
      <c r="I5" s="77"/>
      <c r="J5" s="36"/>
      <c r="K5" s="36"/>
      <c r="L5" s="36"/>
      <c r="M5" s="36"/>
      <c r="N5" s="135"/>
      <c r="O5" s="101"/>
      <c r="P5" s="8"/>
      <c r="Q5" s="8"/>
      <c r="R5" s="8"/>
      <c r="S5" s="8"/>
      <c r="T5" s="8"/>
    </row>
    <row r="6" spans="1:20" ht="20.100000000000001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36"/>
      <c r="H6" s="36"/>
      <c r="I6" s="36"/>
      <c r="J6" s="105"/>
      <c r="K6" s="105"/>
      <c r="L6" s="36"/>
      <c r="M6" s="36"/>
      <c r="N6" s="135"/>
      <c r="O6" s="101"/>
      <c r="P6" s="8"/>
      <c r="Q6" s="8"/>
      <c r="R6" s="8"/>
      <c r="S6" s="8"/>
      <c r="T6" s="8"/>
    </row>
    <row r="7" spans="1:20" ht="20.100000000000001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36"/>
      <c r="H7" s="36"/>
      <c r="I7" s="36"/>
      <c r="J7" s="105"/>
      <c r="K7" s="105"/>
      <c r="L7" s="36"/>
      <c r="M7" s="36"/>
      <c r="N7" s="135"/>
      <c r="O7" s="101"/>
      <c r="P7" s="8"/>
      <c r="Q7" s="8"/>
      <c r="R7" s="8"/>
      <c r="S7" s="8"/>
      <c r="T7" s="8"/>
    </row>
    <row r="8" spans="1:20" ht="20.100000000000001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36"/>
      <c r="H8" s="36"/>
      <c r="I8" s="331"/>
      <c r="J8" s="331"/>
      <c r="K8" s="103"/>
      <c r="L8" s="36"/>
      <c r="M8" s="36"/>
      <c r="N8" s="135"/>
      <c r="O8" s="101"/>
      <c r="P8" s="8"/>
      <c r="Q8" s="8"/>
      <c r="R8" s="8"/>
      <c r="S8" s="8"/>
      <c r="T8" s="8"/>
    </row>
    <row r="9" spans="1:20" ht="20.100000000000001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36"/>
      <c r="H9" s="36"/>
      <c r="I9" s="104"/>
      <c r="J9" s="105"/>
      <c r="K9" s="105"/>
      <c r="L9" s="36"/>
      <c r="M9" s="36"/>
      <c r="N9" s="135"/>
      <c r="O9" s="101"/>
      <c r="P9" s="8"/>
      <c r="Q9" s="8"/>
      <c r="R9" s="8"/>
      <c r="S9" s="8"/>
      <c r="T9" s="8"/>
    </row>
    <row r="10" spans="1:20" ht="15" customHeight="1">
      <c r="A10" s="5"/>
      <c r="B10" s="12"/>
      <c r="C10" s="13"/>
      <c r="D10" s="6"/>
      <c r="E10" s="6"/>
      <c r="F10" s="6"/>
      <c r="G10" s="36"/>
      <c r="H10" s="36"/>
      <c r="I10" s="104"/>
      <c r="J10" s="105"/>
      <c r="K10" s="105"/>
      <c r="L10" s="36"/>
      <c r="M10" s="36"/>
      <c r="N10" s="135"/>
      <c r="O10" s="101"/>
      <c r="P10" s="8"/>
      <c r="Q10" s="8"/>
      <c r="R10" s="8"/>
      <c r="S10" s="8"/>
      <c r="T10" s="8"/>
    </row>
    <row r="11" spans="1:20" ht="20.100000000000001" customHeight="1">
      <c r="A11" s="32" t="s">
        <v>9</v>
      </c>
      <c r="B11" s="12"/>
      <c r="C11" s="13"/>
      <c r="D11" s="6"/>
      <c r="E11" s="6"/>
      <c r="F11" s="6"/>
      <c r="G11" s="36"/>
      <c r="H11" s="36"/>
      <c r="I11" s="104"/>
      <c r="J11" s="105"/>
      <c r="K11" s="105"/>
      <c r="L11" s="36"/>
      <c r="M11" s="36"/>
      <c r="N11" s="135"/>
      <c r="O11" s="101"/>
      <c r="P11" s="8"/>
      <c r="Q11" s="8"/>
      <c r="R11" s="8"/>
      <c r="S11" s="8"/>
      <c r="T11" s="8"/>
    </row>
    <row r="12" spans="1:20" ht="20.100000000000001" customHeight="1">
      <c r="A12" s="328" t="s">
        <v>93</v>
      </c>
      <c r="B12" s="329"/>
      <c r="C12" s="13"/>
      <c r="D12" s="6"/>
      <c r="E12" s="6"/>
      <c r="F12" s="6"/>
      <c r="G12" s="36"/>
      <c r="H12" s="36"/>
      <c r="I12" s="36"/>
      <c r="J12" s="105"/>
      <c r="K12" s="105"/>
      <c r="L12" s="36"/>
      <c r="M12" s="36"/>
      <c r="N12" s="135"/>
      <c r="O12" s="101"/>
      <c r="P12" s="8"/>
      <c r="Q12" s="8"/>
      <c r="R12" s="8"/>
      <c r="S12" s="8"/>
      <c r="T12" s="8"/>
    </row>
    <row r="13" spans="1:20" ht="20.100000000000001" customHeight="1">
      <c r="A13" s="315" t="s">
        <v>94</v>
      </c>
      <c r="B13" s="316"/>
      <c r="C13" s="35" t="s">
        <v>64</v>
      </c>
      <c r="D13" s="265"/>
      <c r="E13" s="6" t="s">
        <v>8</v>
      </c>
      <c r="F13" s="6"/>
      <c r="G13" s="36"/>
      <c r="H13" s="36"/>
      <c r="I13" s="36"/>
      <c r="J13" s="105"/>
      <c r="K13" s="105"/>
      <c r="L13" s="36"/>
      <c r="M13" s="36"/>
      <c r="N13" s="135"/>
      <c r="O13" s="210"/>
      <c r="P13" s="207"/>
      <c r="R13" s="207"/>
      <c r="S13" s="8"/>
      <c r="T13" s="8"/>
    </row>
    <row r="14" spans="1:20" ht="15" customHeight="1">
      <c r="A14" s="15"/>
      <c r="B14" s="12"/>
      <c r="C14" s="13"/>
      <c r="D14" s="6"/>
      <c r="E14" s="6"/>
      <c r="F14" s="6"/>
      <c r="G14" s="36"/>
      <c r="H14" s="36"/>
      <c r="I14" s="36"/>
      <c r="J14" s="105"/>
      <c r="K14" s="105"/>
      <c r="L14" s="36"/>
      <c r="M14" s="36"/>
      <c r="N14" s="135"/>
      <c r="O14" s="211"/>
      <c r="P14" s="207"/>
      <c r="Q14" s="8"/>
      <c r="R14" s="207"/>
      <c r="S14" s="8"/>
      <c r="T14" s="8"/>
    </row>
    <row r="15" spans="1:20" ht="20.100000000000001" customHeight="1">
      <c r="A15" s="315" t="s">
        <v>71</v>
      </c>
      <c r="B15" s="316"/>
      <c r="C15" s="316"/>
      <c r="D15" s="316"/>
      <c r="E15" s="316"/>
      <c r="F15" s="316"/>
      <c r="G15" s="6"/>
      <c r="H15" s="6"/>
      <c r="I15" s="6"/>
      <c r="J15" s="6"/>
      <c r="K15" s="6"/>
      <c r="L15" s="6"/>
      <c r="M15" s="6"/>
      <c r="N15" s="9"/>
      <c r="O15" s="210"/>
      <c r="P15" s="207"/>
      <c r="Q15" s="8"/>
      <c r="R15" s="207"/>
      <c r="S15" s="8"/>
      <c r="T15" s="8"/>
    </row>
    <row r="16" spans="1:20" ht="20.100000000000001" customHeight="1">
      <c r="A16" s="15" t="s">
        <v>41</v>
      </c>
      <c r="B16" s="16"/>
      <c r="C16" s="16"/>
      <c r="D16" s="16"/>
      <c r="E16" s="16"/>
      <c r="F16" s="16"/>
      <c r="G16" s="6"/>
      <c r="H16" s="6"/>
      <c r="I16" s="6"/>
      <c r="J16" s="8"/>
      <c r="K16" s="8"/>
      <c r="L16" s="8"/>
      <c r="M16" s="8"/>
      <c r="N16" s="9"/>
      <c r="O16" s="8"/>
      <c r="P16" s="212"/>
      <c r="Q16" s="8"/>
      <c r="R16" s="207"/>
      <c r="S16" s="8"/>
      <c r="T16" s="8"/>
    </row>
    <row r="17" spans="1:20" ht="20.100000000000001" customHeight="1">
      <c r="A17" s="15" t="s">
        <v>2</v>
      </c>
      <c r="B17" s="16"/>
      <c r="C17" s="16"/>
      <c r="D17" s="16"/>
      <c r="E17" s="6"/>
      <c r="F17" s="6"/>
      <c r="G17" s="6"/>
      <c r="H17" s="6"/>
      <c r="J17" s="98" t="s">
        <v>58</v>
      </c>
      <c r="K17" s="98"/>
      <c r="L17" s="98"/>
      <c r="M17" s="143"/>
      <c r="N17" s="137"/>
      <c r="O17" s="210"/>
      <c r="P17" s="207"/>
      <c r="Q17" s="207"/>
      <c r="R17" s="207"/>
      <c r="S17" s="207"/>
      <c r="T17" s="8"/>
    </row>
    <row r="18" spans="1:20" ht="20.100000000000001" customHeight="1">
      <c r="A18" s="17" t="s">
        <v>3</v>
      </c>
      <c r="B18" s="18" t="s">
        <v>4</v>
      </c>
      <c r="C18" s="19" t="s">
        <v>57</v>
      </c>
      <c r="D18" s="19" t="s">
        <v>5</v>
      </c>
      <c r="E18" s="19" t="s">
        <v>6</v>
      </c>
      <c r="F18" s="19" t="s">
        <v>7</v>
      </c>
      <c r="G18" s="20" t="s">
        <v>35</v>
      </c>
      <c r="H18" s="79"/>
      <c r="J18" s="7" t="s">
        <v>11</v>
      </c>
      <c r="K18" s="7"/>
      <c r="L18" s="7"/>
      <c r="M18" s="6"/>
      <c r="N18" s="137"/>
      <c r="O18" s="210"/>
      <c r="P18" s="207"/>
      <c r="Q18" s="8"/>
      <c r="R18" s="207"/>
      <c r="S18" s="8"/>
      <c r="T18" s="8"/>
    </row>
    <row r="19" spans="1:20" ht="20.100000000000001" customHeight="1">
      <c r="A19" s="21" t="s">
        <v>0</v>
      </c>
      <c r="B19" s="22" t="s">
        <v>0</v>
      </c>
      <c r="C19" s="22" t="s">
        <v>8</v>
      </c>
      <c r="D19" s="22" t="s">
        <v>36</v>
      </c>
      <c r="E19" s="23" t="s">
        <v>8</v>
      </c>
      <c r="F19" s="23" t="s">
        <v>8</v>
      </c>
      <c r="G19" s="24" t="s">
        <v>36</v>
      </c>
      <c r="H19" s="45"/>
      <c r="J19" s="6" t="s">
        <v>60</v>
      </c>
      <c r="K19" s="209">
        <f>IF(AND(A20&lt;=0,B25&lt;=0),0,0.2)</f>
        <v>0</v>
      </c>
      <c r="L19" s="6" t="s">
        <v>8</v>
      </c>
      <c r="M19" s="8"/>
      <c r="N19" s="9"/>
      <c r="O19" s="6"/>
      <c r="P19" s="6"/>
      <c r="Q19" s="8"/>
      <c r="R19" s="8"/>
      <c r="S19" s="8"/>
      <c r="T19" s="8"/>
    </row>
    <row r="20" spans="1:20" ht="20.100000000000001" customHeight="1">
      <c r="A20" s="75"/>
      <c r="B20" s="76"/>
      <c r="C20" s="71">
        <f>IF(OR(A20&lt;=0,B20&lt;=0),0,IF(D13&lt;=0,0,(POWER((A20/1000),2)+4*POWER($D$13,2))/8/$D$13))</f>
        <v>0</v>
      </c>
      <c r="D20" s="222">
        <f>IF(OR(A20&lt;=0,B20&lt;=0,B6&lt;=0),0,POWER(C20,2)/2*(2*ACOS(1-$D$13/C20)-SIN(2*ACOS(1-$D$13/C20)))+(B20/1000-$D$13-$K$20)*A20/1000+(A20/1000+A20/1000-2*$K$19)/2*$K$20)</f>
        <v>0</v>
      </c>
      <c r="E20" s="47">
        <f>IF(OR(A20&lt;=0,B20&lt;=0,B6&lt;=0),0,C20*2*ACOS(1-$D$13/C20)+2*(B20/1000-$D$13-$K$20)+2*SQRT(POWER($K$19,2)+POWER($K$20,2))+A20/1000-2*$K$19)</f>
        <v>0</v>
      </c>
      <c r="F20" s="47">
        <f>IF(OR(A20&lt;=0,B20&lt;=0),0,IF(ISERROR(D20/E20),0,D20/E20))</f>
        <v>0</v>
      </c>
      <c r="G20" s="221">
        <f>IF(OR(A20&lt;=0,B20&lt;=0),0,IF(ISERROR($B$5/(-2*LOG(2.51*$B$9/(4*F20*SQRT(8*$B$8*F20*$B$6/1000))+$B$7/(1000*(14.84*F20)))*SQRT(8*$B$8*F20*$B$6/1000))),0,$B$5/(-2*LOG(2.51*$B$9/(4*F20*SQRT(8*$B$8*F20*$B$6/1000))+$B$7/(1000*(14.84*F20)))*SQRT(8*$B$8*F20*$B$6/1000))))</f>
        <v>0</v>
      </c>
      <c r="H20" s="298">
        <f>IF(B20&lt;=0,0,IF(B20/1000&lt;($K$20+D13),"HN erhöhen",0))</f>
        <v>0</v>
      </c>
      <c r="J20" s="6" t="s">
        <v>12</v>
      </c>
      <c r="K20" s="209">
        <f>IF(K19&lt;=0,0,0.2)</f>
        <v>0</v>
      </c>
      <c r="L20" s="6" t="s">
        <v>8</v>
      </c>
      <c r="M20" s="8"/>
      <c r="N20" s="9"/>
      <c r="O20" s="6"/>
      <c r="P20" s="6"/>
      <c r="Q20" s="8"/>
      <c r="R20" s="8"/>
      <c r="S20" s="8"/>
      <c r="T20" s="8"/>
    </row>
    <row r="21" spans="1:20" ht="20.100000000000001" customHeight="1">
      <c r="A21" s="270"/>
      <c r="B21" s="271"/>
      <c r="C21" s="73">
        <f>IF(OR(B6&lt;=0,A21&lt;=0,B21&lt;=0),0,(POWER((A21/1000),2)+4*POWER($D$13,2))/8/$D$13)</f>
        <v>0</v>
      </c>
      <c r="D21" s="260">
        <f>IF(OR(B6&lt;=0,A21&lt;=0,B21&lt;=0),0,POWER(C21,2)/2*(2*ACOS(1-$D$13/C21)-SIN(2*ACOS(1-$D$13/C21)))+(B21/1000-$D$13-$K$20)*A21/1000+(A21/1000+A21/1000-2*$K$19)/2*$K$20)</f>
        <v>0</v>
      </c>
      <c r="E21" s="28">
        <f>IF(OR(B6&lt;=0,A21&lt;=0,B21&lt;=0),0,C21*2*ACOS(1-$D$13/C21)+2*(B21/1000-$D$13-$K$20)+2*SQRT(POWER($K$19,2)+POWER($K$20,2))+A21/1000-2*$K$19)</f>
        <v>0</v>
      </c>
      <c r="F21" s="28">
        <f>IF(ISERROR(D21/E21),0,D21/E21)</f>
        <v>0</v>
      </c>
      <c r="G21" s="261">
        <f>IF(ISERROR($B$5/(-2*LOG(2.51*$B$9/(4*F21*SQRT(8*$B$8*F21*$B$6/1000))+$B$7/(1000*(14.84*F21)))*SQRT(8*$B$8*F21*$B$6/1000))),0,$B$5/(-2*LOG(2.51*$B$9/(4*F21*SQRT(8*$B$8*F21*$B$6/1000))+$B$7/(1000*(14.84*F21)))*SQRT(8*$B$8*F21*$B$6/1000)))</f>
        <v>0</v>
      </c>
      <c r="H21" s="298">
        <f>IF(B21&lt;=0,0,IF(B21/1000&lt;($K$20+D13),"HN erhöhen",0))</f>
        <v>0</v>
      </c>
      <c r="M21" s="8"/>
      <c r="N21" s="9"/>
      <c r="O21" s="6"/>
      <c r="P21" s="6"/>
      <c r="Q21" s="8"/>
      <c r="R21" s="8"/>
      <c r="S21" s="8"/>
      <c r="T21" s="8"/>
    </row>
    <row r="22" spans="1:20" ht="20.100000000000001" customHeight="1">
      <c r="A22" s="29"/>
      <c r="B22" s="30"/>
      <c r="C22" s="31"/>
      <c r="D22" s="31"/>
      <c r="E22" s="31"/>
      <c r="F22" s="31"/>
      <c r="G22" s="6"/>
      <c r="H22" s="6"/>
      <c r="J22" s="97" t="s">
        <v>56</v>
      </c>
      <c r="K22" s="97"/>
      <c r="L22" s="97"/>
      <c r="M22" s="105"/>
      <c r="N22" s="215"/>
      <c r="O22" s="6"/>
      <c r="P22" s="6"/>
      <c r="Q22" s="8"/>
      <c r="R22" s="8"/>
      <c r="S22" s="8"/>
      <c r="T22" s="8"/>
    </row>
    <row r="23" spans="1:20" ht="20.100000000000001" customHeight="1">
      <c r="A23" s="32" t="s">
        <v>9</v>
      </c>
      <c r="B23" s="16"/>
      <c r="C23" s="16"/>
      <c r="D23" s="16"/>
      <c r="E23" s="6"/>
      <c r="F23" s="6"/>
      <c r="G23" s="6"/>
      <c r="H23" s="6"/>
      <c r="J23" s="14" t="s">
        <v>64</v>
      </c>
      <c r="K23" s="86">
        <f>IF(B25&lt;=0,0,D13)</f>
        <v>0</v>
      </c>
      <c r="L23" s="6" t="s">
        <v>8</v>
      </c>
      <c r="M23" s="152"/>
      <c r="N23" s="153"/>
      <c r="O23" s="6"/>
      <c r="P23" s="8"/>
      <c r="Q23" s="8"/>
      <c r="R23" s="8"/>
      <c r="S23" s="8"/>
      <c r="T23" s="8"/>
    </row>
    <row r="24" spans="1:20" ht="20.100000000000001" customHeight="1">
      <c r="A24" s="328" t="s">
        <v>10</v>
      </c>
      <c r="B24" s="329"/>
      <c r="C24" s="16"/>
      <c r="D24" s="16"/>
      <c r="F24" s="97" t="s">
        <v>106</v>
      </c>
      <c r="G24" s="97"/>
      <c r="H24" s="6"/>
      <c r="J24" s="6" t="s">
        <v>55</v>
      </c>
      <c r="K24" s="52">
        <f>IF(K23&lt;=0,0,(4*POWER(K23,2)+POWER((B25/1000),2))/8/D13)</f>
        <v>0</v>
      </c>
      <c r="L24" s="6" t="s">
        <v>8</v>
      </c>
      <c r="M24" s="6"/>
      <c r="N24" s="9"/>
      <c r="O24" s="8"/>
      <c r="P24" s="8"/>
      <c r="Q24" s="8"/>
      <c r="R24" s="8"/>
      <c r="S24" s="8"/>
      <c r="T24" s="8"/>
    </row>
    <row r="25" spans="1:20" ht="20.100000000000001" customHeight="1">
      <c r="A25" s="5" t="s">
        <v>3</v>
      </c>
      <c r="B25" s="236">
        <f>A21</f>
        <v>0</v>
      </c>
      <c r="C25" s="6" t="s">
        <v>0</v>
      </c>
      <c r="D25" s="33"/>
      <c r="F25" s="34" t="s">
        <v>54</v>
      </c>
      <c r="G25" s="52">
        <f>IF(K23&lt;=0,0,POWER(K24,2)/2*(2*ACOS(1-$K$23/K24)-SIN(2*ACOS(1-$K$23/K24)))+($B$26/1000-K23-$K$20)*B25/1000+(B25/1000+B25/1000-2*$K$19)/2*$K$20)</f>
        <v>0</v>
      </c>
      <c r="H25" s="6" t="s">
        <v>36</v>
      </c>
      <c r="J25" s="14"/>
      <c r="K25" s="193"/>
      <c r="L25" s="78"/>
      <c r="M25" s="78"/>
      <c r="N25" s="150"/>
      <c r="O25" s="332"/>
      <c r="P25" s="332"/>
      <c r="Q25" s="8"/>
      <c r="R25" s="8"/>
      <c r="S25" s="8"/>
      <c r="T25" s="8"/>
    </row>
    <row r="26" spans="1:20" ht="20.100000000000001" customHeight="1">
      <c r="A26" s="5" t="s">
        <v>4</v>
      </c>
      <c r="B26" s="236">
        <f>B21</f>
        <v>0</v>
      </c>
      <c r="C26" s="6" t="s">
        <v>0</v>
      </c>
      <c r="D26" s="6"/>
      <c r="F26" s="35" t="s">
        <v>62</v>
      </c>
      <c r="G26" s="237">
        <f>IF(K23&lt;=0,0,K24*2*ACOS(1-K23/K24)*180/PI()*PI()/180+2*(B26/1000-K23-$K$20)+2*SQRT(POWER($K$19,2)+POWER($K$20,2))+B25/1000-2*$K$19)</f>
        <v>0</v>
      </c>
      <c r="H26" s="36" t="s">
        <v>8</v>
      </c>
      <c r="J26" s="14"/>
      <c r="K26" s="193"/>
      <c r="L26" s="6"/>
      <c r="M26" s="6"/>
      <c r="N26" s="137"/>
      <c r="O26" s="316"/>
      <c r="P26" s="316"/>
      <c r="Q26" s="8"/>
      <c r="R26" s="8"/>
      <c r="S26" s="8"/>
      <c r="T26" s="8"/>
    </row>
    <row r="27" spans="1:20" ht="20.100000000000001" customHeight="1">
      <c r="A27" s="5"/>
      <c r="B27" s="37"/>
      <c r="C27" s="6"/>
      <c r="D27" s="6"/>
      <c r="F27" s="200" t="s">
        <v>111</v>
      </c>
      <c r="G27" s="289">
        <f>IF(OR(B25&lt;=0,B6&lt;=0),0,-2*LOG(2.51*$B$9/(4*G25/G26*SQRT(8*$B$8*G25/G26*$B$6/1000))+$B$7/(1000*(14.84*G25/G26)))*SQRT(8*$B$8*G25/G26*$B$6/1000))</f>
        <v>0</v>
      </c>
      <c r="H27" s="78" t="s">
        <v>15</v>
      </c>
      <c r="J27" s="14" t="s">
        <v>84</v>
      </c>
      <c r="K27" s="8"/>
      <c r="L27" s="8"/>
      <c r="M27" s="8"/>
      <c r="N27" s="9"/>
      <c r="O27" s="8"/>
      <c r="P27" s="8"/>
      <c r="Q27" s="8"/>
      <c r="R27" s="8"/>
      <c r="S27" s="8"/>
      <c r="T27" s="8"/>
    </row>
    <row r="28" spans="1:20" ht="20.100000000000001" customHeight="1">
      <c r="A28" s="5"/>
      <c r="B28" s="37"/>
      <c r="C28" s="6"/>
      <c r="D28" s="6"/>
      <c r="F28" s="200" t="s">
        <v>110</v>
      </c>
      <c r="G28" s="290">
        <f>G27*G25</f>
        <v>0</v>
      </c>
      <c r="H28" s="6" t="s">
        <v>29</v>
      </c>
      <c r="J28" s="14" t="s">
        <v>85</v>
      </c>
      <c r="K28" s="52">
        <f>B26/1000+POWER(G27,2)/2/B8</f>
        <v>0</v>
      </c>
      <c r="L28" s="16" t="s">
        <v>8</v>
      </c>
      <c r="M28" s="16"/>
      <c r="N28" s="9"/>
      <c r="O28" s="16"/>
      <c r="P28" s="8"/>
      <c r="Q28" s="8"/>
      <c r="R28" s="8"/>
      <c r="S28" s="8"/>
      <c r="T28" s="8"/>
    </row>
    <row r="29" spans="1:20" ht="20.100000000000001" customHeight="1">
      <c r="A29" s="39" t="s">
        <v>49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  <c r="O29" s="8"/>
      <c r="P29" s="8"/>
      <c r="Q29" s="8"/>
      <c r="R29" s="8"/>
      <c r="S29" s="8"/>
      <c r="T29" s="8"/>
    </row>
    <row r="30" spans="1:20" ht="45" customHeight="1">
      <c r="A30" s="40" t="s">
        <v>16</v>
      </c>
      <c r="B30" s="19" t="s">
        <v>17</v>
      </c>
      <c r="C30" s="19" t="s">
        <v>18</v>
      </c>
      <c r="D30" s="19" t="s">
        <v>19</v>
      </c>
      <c r="E30" s="19" t="s">
        <v>20</v>
      </c>
      <c r="F30" s="18" t="s">
        <v>21</v>
      </c>
      <c r="G30" s="19" t="s">
        <v>22</v>
      </c>
      <c r="H30" s="19" t="s">
        <v>90</v>
      </c>
      <c r="I30" s="18" t="s">
        <v>23</v>
      </c>
      <c r="J30" s="19" t="s">
        <v>24</v>
      </c>
      <c r="K30" s="20" t="s">
        <v>83</v>
      </c>
      <c r="L30" s="6"/>
      <c r="M30" s="6"/>
      <c r="N30" s="9"/>
      <c r="O30" s="8"/>
      <c r="P30" s="8"/>
      <c r="Q30" s="8"/>
      <c r="R30" s="8"/>
      <c r="S30" s="8"/>
      <c r="T30" s="8"/>
    </row>
    <row r="31" spans="1:20" ht="20.100000000000001" customHeight="1">
      <c r="A31" s="41" t="s">
        <v>61</v>
      </c>
      <c r="B31" s="42" t="s">
        <v>5</v>
      </c>
      <c r="C31" s="42" t="s">
        <v>37</v>
      </c>
      <c r="D31" s="42" t="s">
        <v>38</v>
      </c>
      <c r="E31" s="42" t="s">
        <v>25</v>
      </c>
      <c r="F31" s="43" t="s">
        <v>72</v>
      </c>
      <c r="G31" s="42" t="s">
        <v>39</v>
      </c>
      <c r="H31" s="42" t="s">
        <v>91</v>
      </c>
      <c r="I31" s="43" t="s">
        <v>26</v>
      </c>
      <c r="J31" s="43" t="s">
        <v>40</v>
      </c>
      <c r="K31" s="108" t="s">
        <v>87</v>
      </c>
      <c r="L31" s="321" t="s">
        <v>76</v>
      </c>
      <c r="M31" s="322"/>
      <c r="N31" s="9"/>
      <c r="O31" s="8"/>
      <c r="P31" s="8"/>
      <c r="Q31" s="8"/>
      <c r="R31" s="8"/>
      <c r="S31" s="8"/>
      <c r="T31" s="8"/>
    </row>
    <row r="32" spans="1:20" ht="20.100000000000001" customHeight="1">
      <c r="A32" s="21" t="s">
        <v>8</v>
      </c>
      <c r="B32" s="22" t="s">
        <v>36</v>
      </c>
      <c r="C32" s="22" t="s">
        <v>8</v>
      </c>
      <c r="D32" s="22" t="s">
        <v>8</v>
      </c>
      <c r="E32" s="22" t="s">
        <v>15</v>
      </c>
      <c r="F32" s="22" t="s">
        <v>29</v>
      </c>
      <c r="G32" s="22" t="s">
        <v>27</v>
      </c>
      <c r="H32" s="22" t="s">
        <v>8</v>
      </c>
      <c r="I32" s="22" t="s">
        <v>27</v>
      </c>
      <c r="J32" s="22" t="s">
        <v>8</v>
      </c>
      <c r="K32" s="107" t="s">
        <v>86</v>
      </c>
      <c r="L32" s="46"/>
      <c r="M32" s="6"/>
      <c r="N32" s="9"/>
      <c r="O32" s="8"/>
      <c r="P32" s="8"/>
      <c r="Q32" s="8"/>
      <c r="R32" s="8"/>
      <c r="S32" s="8"/>
      <c r="T32" s="8"/>
    </row>
    <row r="33" spans="1:20" ht="20.100000000000001" customHeight="1">
      <c r="A33" s="203">
        <f>IF($B$26&lt;=0,0,A34+$K$20/3)</f>
        <v>0</v>
      </c>
      <c r="B33" s="118">
        <f>IF(A33&lt;=0,0,$B$36+($B$25/1000+$B$25/1000-2*(A33-$A$36)*$K$20/$K$19)/2*(A33-$A$36))</f>
        <v>0</v>
      </c>
      <c r="C33" s="118">
        <f>IF(A33&lt;=0,0,$C$36+2*SQRT(POWER($K$19/$K$20*(A33-$A$36),2)+POWER((A33-$A$36),2))+B25/1000-2*K19)</f>
        <v>0</v>
      </c>
      <c r="D33" s="120">
        <f t="shared" ref="D33:D50" si="0">IF(ISERROR(B33/C33),0,B33/C33)</f>
        <v>0</v>
      </c>
      <c r="E33" s="120">
        <f t="shared" ref="E33:E40" si="1">IF(ISERROR(-2*LOG(2.51*$B$9/(4*D33*SQRT(8*$B$8*D33*$B$6/1000))+$B$7/(1000*(14.84*D33)))*SQRT(8*$B$8*D33*$B$6/1000)),0,-2*LOG(2.51*$B$9/(4*D33*SQRT(8*$B$8*D33*$B$6/1000))+$B$7/(1000*(14.84*D33)))*SQRT(8*$B$8*D33*$B$6/1000))</f>
        <v>0</v>
      </c>
      <c r="F33" s="129">
        <f t="shared" ref="F33:F50" si="2">E33*B33</f>
        <v>0</v>
      </c>
      <c r="G33" s="130">
        <f t="shared" ref="G33:G50" si="3">IF(ISERROR(F33/$G$28),0,F33/$G$28)</f>
        <v>0</v>
      </c>
      <c r="H33" s="123">
        <f>IF(OR(K19&lt;=0,A33&lt;=0),0,$B$25/1000-2*(A33-$A$36)*$K$20/$K$19)</f>
        <v>0</v>
      </c>
      <c r="I33" s="130">
        <f>IF(ISERROR(E33/SQRT($B$8*B33/($B$25/1000-2*#REF!))),0,E33/SQRT($B$8*B33/($B$25/1000-2*#REF!)))</f>
        <v>0</v>
      </c>
      <c r="J33" s="119">
        <f t="shared" ref="J33:J50" si="4">A33+POWER(E33,2)/(2*$B$8)</f>
        <v>0</v>
      </c>
      <c r="K33" s="124">
        <f>9.81*$B$6*D33</f>
        <v>0</v>
      </c>
      <c r="L33" s="6"/>
      <c r="M33" s="333">
        <f>IF(AND(K19&lt;=0,K20&lt;=0),0,"Voute")</f>
        <v>0</v>
      </c>
      <c r="N33" s="330">
        <f>IF(AND(K19&lt;=0,K20&lt;=0),0,K20)</f>
        <v>0</v>
      </c>
      <c r="O33" s="8"/>
      <c r="P33" s="8"/>
      <c r="Q33" s="8"/>
      <c r="R33" s="8"/>
      <c r="S33" s="8"/>
      <c r="T33" s="8"/>
    </row>
    <row r="34" spans="1:20" ht="20.100000000000001" customHeight="1">
      <c r="A34" s="202">
        <f>IF($B$26&lt;=0,0,A35+$K$20/3)</f>
        <v>0</v>
      </c>
      <c r="B34" s="118">
        <f>IF(A34&lt;=0,0,$B$36+($B$25/1000+$B$25/1000-2*(A34-$A$36)*$K$20/$K$19)/2*(A34-$A$36))</f>
        <v>0</v>
      </c>
      <c r="C34" s="118">
        <f>IF(A34&lt;=0,0,$C$36+2*SQRT(POWER($K$19/$K$20*(A34-$A$36),2)+POWER((A34-$A$36),2)))</f>
        <v>0</v>
      </c>
      <c r="D34" s="118">
        <f t="shared" si="0"/>
        <v>0</v>
      </c>
      <c r="E34" s="118">
        <f t="shared" si="1"/>
        <v>0</v>
      </c>
      <c r="F34" s="125">
        <f t="shared" si="2"/>
        <v>0</v>
      </c>
      <c r="G34" s="123">
        <f t="shared" si="3"/>
        <v>0</v>
      </c>
      <c r="H34" s="123">
        <f>IF(OR(K19&lt;=0,A34&lt;=0),0,$B$25/1000-2*(A34-$A$36)*$K$20/$K$19)</f>
        <v>0</v>
      </c>
      <c r="I34" s="123">
        <f t="shared" ref="I34:I45" si="5">IF(ISERROR(E34/SQRT($B$8*B34/($B$25/1000))),0,E34/SQRT($B$8*B34/($B$25/1000)))</f>
        <v>0</v>
      </c>
      <c r="J34" s="118">
        <f t="shared" si="4"/>
        <v>0</v>
      </c>
      <c r="K34" s="141">
        <f t="shared" ref="K34:K50" si="6">9.81*$B$6*D34</f>
        <v>0</v>
      </c>
      <c r="L34" s="6"/>
      <c r="M34" s="333"/>
      <c r="N34" s="330"/>
      <c r="O34" s="8"/>
      <c r="P34" s="8"/>
      <c r="Q34" s="8"/>
      <c r="R34" s="8"/>
      <c r="S34" s="8"/>
      <c r="T34" s="8"/>
    </row>
    <row r="35" spans="1:20" ht="20.100000000000001" customHeight="1">
      <c r="A35" s="266">
        <f>IF($B$26&lt;=0,0,IF(AND(K19&lt;=0,K20&lt;=0),0,A36+$K$20/3))</f>
        <v>0</v>
      </c>
      <c r="B35" s="118">
        <f>IF(A35&lt;=0,0,$B$36+($B$25/1000+$B$25/1000-2*(A35-$A$36)*$K$20/$K$19)/2*(A35-$A$36))</f>
        <v>0</v>
      </c>
      <c r="C35" s="126">
        <f>IF(A35&lt;=0,0,$C$36+2*SQRT(POWER($K$19/$K$20*(A35-$A$36),2)+POWER((A35-$A$36),2)))</f>
        <v>0</v>
      </c>
      <c r="D35" s="126">
        <f t="shared" si="0"/>
        <v>0</v>
      </c>
      <c r="E35" s="126">
        <f t="shared" si="1"/>
        <v>0</v>
      </c>
      <c r="F35" s="127">
        <f t="shared" si="2"/>
        <v>0</v>
      </c>
      <c r="G35" s="128">
        <f t="shared" si="3"/>
        <v>0</v>
      </c>
      <c r="H35" s="123">
        <f>IF(OR(K20&lt;=0,A35&lt;=0),0,$B$25/1000-2*(A35-$A$36)*$K$20/$K$19)</f>
        <v>0</v>
      </c>
      <c r="I35" s="128">
        <f t="shared" si="5"/>
        <v>0</v>
      </c>
      <c r="J35" s="126">
        <f t="shared" si="4"/>
        <v>0</v>
      </c>
      <c r="K35" s="131">
        <f t="shared" si="6"/>
        <v>0</v>
      </c>
      <c r="L35" s="53"/>
      <c r="M35" s="333"/>
      <c r="N35" s="330"/>
      <c r="O35" s="8"/>
      <c r="P35" s="8"/>
      <c r="Q35" s="8"/>
      <c r="R35" s="8"/>
      <c r="S35" s="8"/>
      <c r="T35" s="8"/>
    </row>
    <row r="36" spans="1:20" ht="20.100000000000001" customHeight="1">
      <c r="A36" s="201">
        <f t="shared" ref="A36:A45" si="7">IF($B$26&lt;=0,0,($B$26/1000-$K$20-$K$23)/10+A37)</f>
        <v>0</v>
      </c>
      <c r="B36" s="47">
        <f>IF(A36&lt;=0,0,$B$46+$B$25/1000*(A36-$A$46))</f>
        <v>0</v>
      </c>
      <c r="C36" s="26">
        <f>IF(A36&lt;=0,0,IF(A36=B26/1000,(A36-A37)*2+C37+B25/1000,2*(A36-A37)+C37))</f>
        <v>0</v>
      </c>
      <c r="D36" s="26">
        <f t="shared" si="0"/>
        <v>0</v>
      </c>
      <c r="E36" s="26">
        <f t="shared" si="1"/>
        <v>0</v>
      </c>
      <c r="F36" s="25">
        <f t="shared" si="2"/>
        <v>0</v>
      </c>
      <c r="G36" s="214">
        <f t="shared" si="3"/>
        <v>0</v>
      </c>
      <c r="H36" s="214">
        <f>IF(A36&lt;=0,0,$B$25/1000)</f>
        <v>0</v>
      </c>
      <c r="I36" s="49">
        <f t="shared" si="5"/>
        <v>0</v>
      </c>
      <c r="J36" s="26">
        <f t="shared" si="4"/>
        <v>0</v>
      </c>
      <c r="K36" s="109">
        <f t="shared" si="6"/>
        <v>0</v>
      </c>
      <c r="L36" s="6"/>
      <c r="M36" s="6"/>
      <c r="N36" s="9"/>
      <c r="O36" s="142"/>
      <c r="P36" s="142"/>
      <c r="Q36" s="142"/>
      <c r="R36" s="8"/>
      <c r="S36" s="8"/>
      <c r="T36" s="8"/>
    </row>
    <row r="37" spans="1:20" ht="20.100000000000001" customHeight="1">
      <c r="A37" s="268">
        <f t="shared" si="7"/>
        <v>0</v>
      </c>
      <c r="B37" s="51">
        <f t="shared" ref="B37:B45" si="8">IF(A37&lt;=0,0,$B$46+$B$25/1000*(A37-$A$46))</f>
        <v>0</v>
      </c>
      <c r="C37" s="26">
        <f t="shared" ref="C37:C45" si="9">IF(A37&lt;=0,0,(A37-A38)*2+C38)</f>
        <v>0</v>
      </c>
      <c r="D37" s="26">
        <f t="shared" si="0"/>
        <v>0</v>
      </c>
      <c r="E37" s="26">
        <f t="shared" si="1"/>
        <v>0</v>
      </c>
      <c r="F37" s="25">
        <f t="shared" si="2"/>
        <v>0</v>
      </c>
      <c r="G37" s="204">
        <f t="shared" si="3"/>
        <v>0</v>
      </c>
      <c r="H37" s="204">
        <f t="shared" ref="H37:H45" si="10">IF(A37&lt;=0,0,$B$25/1000)</f>
        <v>0</v>
      </c>
      <c r="I37" s="50">
        <f t="shared" si="5"/>
        <v>0</v>
      </c>
      <c r="J37" s="51">
        <f t="shared" si="4"/>
        <v>0</v>
      </c>
      <c r="K37" s="111">
        <f t="shared" si="6"/>
        <v>0</v>
      </c>
      <c r="L37" s="6"/>
      <c r="M37" s="334" t="s">
        <v>124</v>
      </c>
      <c r="N37" s="9"/>
      <c r="O37" s="8"/>
      <c r="P37" s="8"/>
      <c r="Q37" s="8"/>
      <c r="R37" s="8"/>
      <c r="S37" s="8"/>
      <c r="T37" s="8"/>
    </row>
    <row r="38" spans="1:20" ht="20.100000000000001" customHeight="1">
      <c r="A38" s="268">
        <f t="shared" si="7"/>
        <v>0</v>
      </c>
      <c r="B38" s="51">
        <f t="shared" si="8"/>
        <v>0</v>
      </c>
      <c r="C38" s="26">
        <f t="shared" si="9"/>
        <v>0</v>
      </c>
      <c r="D38" s="26">
        <f t="shared" si="0"/>
        <v>0</v>
      </c>
      <c r="E38" s="26">
        <f t="shared" si="1"/>
        <v>0</v>
      </c>
      <c r="F38" s="25">
        <f t="shared" si="2"/>
        <v>0</v>
      </c>
      <c r="G38" s="204">
        <f t="shared" si="3"/>
        <v>0</v>
      </c>
      <c r="H38" s="204">
        <f t="shared" si="10"/>
        <v>0</v>
      </c>
      <c r="I38" s="50">
        <f t="shared" si="5"/>
        <v>0</v>
      </c>
      <c r="J38" s="51">
        <f t="shared" si="4"/>
        <v>0</v>
      </c>
      <c r="K38" s="111">
        <f t="shared" si="6"/>
        <v>0</v>
      </c>
      <c r="L38" s="6"/>
      <c r="M38" s="334"/>
      <c r="N38" s="9"/>
      <c r="O38" s="8"/>
      <c r="P38" s="8"/>
      <c r="Q38" s="8"/>
      <c r="R38" s="8"/>
      <c r="S38" s="8"/>
      <c r="T38" s="8"/>
    </row>
    <row r="39" spans="1:20" ht="20.100000000000001" customHeight="1">
      <c r="A39" s="268">
        <f t="shared" si="7"/>
        <v>0</v>
      </c>
      <c r="B39" s="51">
        <f t="shared" si="8"/>
        <v>0</v>
      </c>
      <c r="C39" s="26">
        <f t="shared" si="9"/>
        <v>0</v>
      </c>
      <c r="D39" s="26">
        <f t="shared" si="0"/>
        <v>0</v>
      </c>
      <c r="E39" s="26">
        <f t="shared" si="1"/>
        <v>0</v>
      </c>
      <c r="F39" s="25">
        <f t="shared" si="2"/>
        <v>0</v>
      </c>
      <c r="G39" s="204">
        <f t="shared" si="3"/>
        <v>0</v>
      </c>
      <c r="H39" s="204">
        <f t="shared" si="10"/>
        <v>0</v>
      </c>
      <c r="I39" s="50">
        <f t="shared" si="5"/>
        <v>0</v>
      </c>
      <c r="J39" s="51">
        <f t="shared" si="4"/>
        <v>0</v>
      </c>
      <c r="K39" s="111">
        <f t="shared" si="6"/>
        <v>0</v>
      </c>
      <c r="L39" s="6"/>
      <c r="M39" s="334"/>
      <c r="N39" s="330">
        <f>IF(B25&lt;=0,0,B26/1000-K23-K20)</f>
        <v>0</v>
      </c>
      <c r="O39" s="8"/>
      <c r="P39" s="8"/>
      <c r="Q39" s="8"/>
      <c r="R39" s="8"/>
      <c r="S39" s="8"/>
      <c r="T39" s="8"/>
    </row>
    <row r="40" spans="1:20" ht="20.100000000000001" customHeight="1">
      <c r="A40" s="268">
        <f t="shared" si="7"/>
        <v>0</v>
      </c>
      <c r="B40" s="51">
        <f t="shared" si="8"/>
        <v>0</v>
      </c>
      <c r="C40" s="26">
        <f t="shared" si="9"/>
        <v>0</v>
      </c>
      <c r="D40" s="26">
        <f t="shared" si="0"/>
        <v>0</v>
      </c>
      <c r="E40" s="26">
        <f t="shared" si="1"/>
        <v>0</v>
      </c>
      <c r="F40" s="25">
        <f t="shared" si="2"/>
        <v>0</v>
      </c>
      <c r="G40" s="204">
        <f t="shared" si="3"/>
        <v>0</v>
      </c>
      <c r="H40" s="204">
        <f t="shared" si="10"/>
        <v>0</v>
      </c>
      <c r="I40" s="50">
        <f t="shared" si="5"/>
        <v>0</v>
      </c>
      <c r="J40" s="51">
        <f t="shared" si="4"/>
        <v>0</v>
      </c>
      <c r="K40" s="111">
        <f t="shared" si="6"/>
        <v>0</v>
      </c>
      <c r="L40" s="6"/>
      <c r="M40" s="334"/>
      <c r="N40" s="330"/>
      <c r="O40" s="8"/>
      <c r="P40" s="8"/>
      <c r="Q40" s="8"/>
      <c r="R40" s="8"/>
      <c r="S40" s="8"/>
      <c r="T40" s="8"/>
    </row>
    <row r="41" spans="1:20" ht="20.100000000000001" customHeight="1">
      <c r="A41" s="268">
        <f t="shared" si="7"/>
        <v>0</v>
      </c>
      <c r="B41" s="51">
        <f t="shared" si="8"/>
        <v>0</v>
      </c>
      <c r="C41" s="26">
        <f t="shared" si="9"/>
        <v>0</v>
      </c>
      <c r="D41" s="26">
        <f t="shared" si="0"/>
        <v>0</v>
      </c>
      <c r="E41" s="26">
        <f t="shared" ref="E41:E50" si="11">IF(ISERROR(-2*LOG(2.51*$B$9/(4*D41*SQRT(8*$B$8*D41*$B$6/1000))+$B$7/(1000*(14.84*D41)))*SQRT(8*$B$8*D41*$B$6/1000)),0,-2*LOG(2.51*$B$9/(4*D41*SQRT(8*$B$8*D41*$B$6/1000))+$B$7/(1000*(14.84*D41)))*SQRT(8*$B$8*D41*$B$6/1000))</f>
        <v>0</v>
      </c>
      <c r="F41" s="25">
        <f t="shared" si="2"/>
        <v>0</v>
      </c>
      <c r="G41" s="204">
        <f t="shared" si="3"/>
        <v>0</v>
      </c>
      <c r="H41" s="204">
        <f t="shared" si="10"/>
        <v>0</v>
      </c>
      <c r="I41" s="50">
        <f t="shared" si="5"/>
        <v>0</v>
      </c>
      <c r="J41" s="51">
        <f t="shared" si="4"/>
        <v>0</v>
      </c>
      <c r="K41" s="111">
        <f t="shared" si="6"/>
        <v>0</v>
      </c>
      <c r="L41" s="6"/>
      <c r="M41" s="334"/>
      <c r="N41" s="330"/>
      <c r="O41" s="8"/>
      <c r="P41" s="8"/>
      <c r="Q41" s="8"/>
      <c r="R41" s="8"/>
      <c r="S41" s="8"/>
      <c r="T41" s="8"/>
    </row>
    <row r="42" spans="1:20" ht="20.100000000000001" customHeight="1">
      <c r="A42" s="268">
        <f t="shared" si="7"/>
        <v>0</v>
      </c>
      <c r="B42" s="51">
        <f t="shared" si="8"/>
        <v>0</v>
      </c>
      <c r="C42" s="26">
        <f t="shared" si="9"/>
        <v>0</v>
      </c>
      <c r="D42" s="26">
        <f t="shared" si="0"/>
        <v>0</v>
      </c>
      <c r="E42" s="26">
        <f t="shared" si="11"/>
        <v>0</v>
      </c>
      <c r="F42" s="25">
        <f t="shared" si="2"/>
        <v>0</v>
      </c>
      <c r="G42" s="204">
        <f t="shared" si="3"/>
        <v>0</v>
      </c>
      <c r="H42" s="204">
        <f t="shared" si="10"/>
        <v>0</v>
      </c>
      <c r="I42" s="50">
        <f t="shared" si="5"/>
        <v>0</v>
      </c>
      <c r="J42" s="51">
        <f t="shared" si="4"/>
        <v>0</v>
      </c>
      <c r="K42" s="111">
        <f t="shared" si="6"/>
        <v>0</v>
      </c>
      <c r="L42" s="6"/>
      <c r="M42" s="334"/>
      <c r="N42" s="330"/>
      <c r="O42" s="8"/>
      <c r="P42" s="8"/>
      <c r="Q42" s="8"/>
      <c r="R42" s="8"/>
      <c r="S42" s="8"/>
      <c r="T42" s="8"/>
    </row>
    <row r="43" spans="1:20" ht="20.100000000000001" customHeight="1">
      <c r="A43" s="268">
        <f t="shared" si="7"/>
        <v>0</v>
      </c>
      <c r="B43" s="51">
        <f t="shared" si="8"/>
        <v>0</v>
      </c>
      <c r="C43" s="51">
        <f t="shared" si="9"/>
        <v>0</v>
      </c>
      <c r="D43" s="26">
        <f t="shared" si="0"/>
        <v>0</v>
      </c>
      <c r="E43" s="26">
        <f t="shared" si="11"/>
        <v>0</v>
      </c>
      <c r="F43" s="25">
        <f t="shared" si="2"/>
        <v>0</v>
      </c>
      <c r="G43" s="204">
        <f t="shared" si="3"/>
        <v>0</v>
      </c>
      <c r="H43" s="204">
        <f t="shared" si="10"/>
        <v>0</v>
      </c>
      <c r="I43" s="50">
        <f t="shared" si="5"/>
        <v>0</v>
      </c>
      <c r="J43" s="51">
        <f t="shared" si="4"/>
        <v>0</v>
      </c>
      <c r="K43" s="111">
        <f t="shared" si="6"/>
        <v>0</v>
      </c>
      <c r="L43" s="6"/>
      <c r="M43" s="334"/>
      <c r="N43" s="9"/>
      <c r="O43" s="8"/>
      <c r="P43" s="8"/>
      <c r="Q43" s="8"/>
      <c r="R43" s="8"/>
      <c r="S43" s="8"/>
      <c r="T43" s="8"/>
    </row>
    <row r="44" spans="1:20" ht="20.100000000000001" customHeight="1">
      <c r="A44" s="268">
        <f t="shared" si="7"/>
        <v>0</v>
      </c>
      <c r="B44" s="51">
        <f t="shared" si="8"/>
        <v>0</v>
      </c>
      <c r="C44" s="51">
        <f t="shared" si="9"/>
        <v>0</v>
      </c>
      <c r="D44" s="26">
        <f t="shared" si="0"/>
        <v>0</v>
      </c>
      <c r="E44" s="26">
        <f t="shared" si="11"/>
        <v>0</v>
      </c>
      <c r="F44" s="25">
        <f t="shared" si="2"/>
        <v>0</v>
      </c>
      <c r="G44" s="204">
        <f t="shared" si="3"/>
        <v>0</v>
      </c>
      <c r="H44" s="204">
        <f t="shared" si="10"/>
        <v>0</v>
      </c>
      <c r="I44" s="50">
        <f t="shared" si="5"/>
        <v>0</v>
      </c>
      <c r="J44" s="51">
        <f t="shared" si="4"/>
        <v>0</v>
      </c>
      <c r="K44" s="111">
        <f t="shared" si="6"/>
        <v>0</v>
      </c>
      <c r="L44" s="6"/>
      <c r="M44" s="334"/>
      <c r="N44" s="9"/>
      <c r="O44" s="8"/>
      <c r="P44" s="8"/>
      <c r="Q44" s="8"/>
      <c r="R44" s="8"/>
      <c r="S44" s="8"/>
      <c r="T44" s="8"/>
    </row>
    <row r="45" spans="1:20" ht="20.100000000000001" customHeight="1">
      <c r="A45" s="269">
        <f t="shared" si="7"/>
        <v>0</v>
      </c>
      <c r="B45" s="28">
        <f t="shared" si="8"/>
        <v>0</v>
      </c>
      <c r="C45" s="28">
        <f t="shared" si="9"/>
        <v>0</v>
      </c>
      <c r="D45" s="28">
        <f t="shared" si="0"/>
        <v>0</v>
      </c>
      <c r="E45" s="28">
        <f t="shared" si="11"/>
        <v>0</v>
      </c>
      <c r="F45" s="27">
        <f t="shared" si="2"/>
        <v>0</v>
      </c>
      <c r="G45" s="206">
        <f t="shared" si="3"/>
        <v>0</v>
      </c>
      <c r="H45" s="206">
        <f t="shared" si="10"/>
        <v>0</v>
      </c>
      <c r="I45" s="55">
        <f t="shared" si="5"/>
        <v>0</v>
      </c>
      <c r="J45" s="28">
        <f t="shared" si="4"/>
        <v>0</v>
      </c>
      <c r="K45" s="110">
        <f t="shared" si="6"/>
        <v>0</v>
      </c>
      <c r="L45" s="53"/>
      <c r="M45" s="6"/>
      <c r="N45" s="9"/>
      <c r="O45" s="8"/>
      <c r="P45" s="8"/>
      <c r="Q45" s="8"/>
      <c r="R45" s="8"/>
      <c r="S45" s="8"/>
      <c r="T45" s="8"/>
    </row>
    <row r="46" spans="1:20" ht="20.100000000000001" customHeight="1">
      <c r="A46" s="203">
        <f>IF($B$26&lt;=0,0,$K$23/5+A47)</f>
        <v>0</v>
      </c>
      <c r="B46" s="120">
        <f>IF(A46&lt;=0,0,POWER($K$24,2)/2*(2*ACOS(1-A46/$K$24)-SIN(2*ACOS(1-A46/$K$24))))</f>
        <v>0</v>
      </c>
      <c r="C46" s="120">
        <f>IF(A46&lt;=0,0,$K$24*2*ACOS(1-A46/$K$24))</f>
        <v>0</v>
      </c>
      <c r="D46" s="120">
        <f t="shared" si="0"/>
        <v>0</v>
      </c>
      <c r="E46" s="120">
        <f t="shared" si="11"/>
        <v>0</v>
      </c>
      <c r="F46" s="129">
        <f t="shared" si="2"/>
        <v>0</v>
      </c>
      <c r="G46" s="130">
        <f t="shared" si="3"/>
        <v>0</v>
      </c>
      <c r="H46" s="130">
        <f>IF(A46&lt;=0,0,2*$K$24*SIN((2*ACOS(1-A46/$K$24)*180/PI()/2)*PI()/180))</f>
        <v>0</v>
      </c>
      <c r="I46" s="130">
        <f>IF(A46&lt;=0,0,E46/SQRT($B$8*B46/H46))</f>
        <v>0</v>
      </c>
      <c r="J46" s="120">
        <f t="shared" si="4"/>
        <v>0</v>
      </c>
      <c r="K46" s="213">
        <f t="shared" si="6"/>
        <v>0</v>
      </c>
      <c r="L46" s="6"/>
      <c r="M46" s="334" t="s">
        <v>92</v>
      </c>
      <c r="N46" s="158"/>
      <c r="O46" s="210"/>
      <c r="P46" s="207"/>
      <c r="Q46" s="116"/>
      <c r="R46" s="8"/>
      <c r="S46" s="8"/>
      <c r="T46" s="8"/>
    </row>
    <row r="47" spans="1:20" ht="20.100000000000001" customHeight="1">
      <c r="A47" s="202">
        <f>IF($B$26&lt;=0,0,$K$23/5+A48)</f>
        <v>0</v>
      </c>
      <c r="B47" s="118">
        <f>IF(A47&lt;=0,0,POWER($K$24,2)/2*(2*ACOS(1-A47/$K$24)-SIN(2*ACOS(1-A47/$K$24))))</f>
        <v>0</v>
      </c>
      <c r="C47" s="118">
        <f>IF(A47&lt;=0,0,$K$24*2*ACOS(1-A47/$K$24))</f>
        <v>0</v>
      </c>
      <c r="D47" s="118">
        <f t="shared" si="0"/>
        <v>0</v>
      </c>
      <c r="E47" s="118">
        <f t="shared" si="11"/>
        <v>0</v>
      </c>
      <c r="F47" s="125">
        <f t="shared" si="2"/>
        <v>0</v>
      </c>
      <c r="G47" s="123">
        <f t="shared" si="3"/>
        <v>0</v>
      </c>
      <c r="H47" s="123">
        <f>IF(A47&lt;=0,0,2*$K$24*SIN((2*ACOS(1-A47/$K$24)*180/PI()/2)*PI()/180))</f>
        <v>0</v>
      </c>
      <c r="I47" s="123">
        <f>IF(A47&lt;=0,0,E47/SQRT($B$8*B47/H47))</f>
        <v>0</v>
      </c>
      <c r="J47" s="118">
        <f t="shared" si="4"/>
        <v>0</v>
      </c>
      <c r="K47" s="141">
        <f t="shared" si="6"/>
        <v>0</v>
      </c>
      <c r="L47" s="6"/>
      <c r="M47" s="334"/>
      <c r="N47" s="330">
        <f>IF(B25&lt;=0,0,K23)</f>
        <v>0</v>
      </c>
      <c r="O47" s="211"/>
      <c r="P47" s="207"/>
      <c r="Q47" s="116"/>
      <c r="R47" s="8"/>
      <c r="S47" s="8"/>
      <c r="T47" s="8"/>
    </row>
    <row r="48" spans="1:20" ht="20.100000000000001" customHeight="1">
      <c r="A48" s="202">
        <f>IF($B$26&lt;=0,0,$K$23/5+A49)</f>
        <v>0</v>
      </c>
      <c r="B48" s="118">
        <f>IF(A48&lt;=0,0,POWER($K$24,2)/2*(2*ACOS(1-A48/$K$24)-SIN(2*ACOS(1-A48/$K$24))))</f>
        <v>0</v>
      </c>
      <c r="C48" s="118">
        <f>IF(A48&lt;=0,0,$K$24*2*ACOS(1-A48/$K$24))</f>
        <v>0</v>
      </c>
      <c r="D48" s="118">
        <f t="shared" si="0"/>
        <v>0</v>
      </c>
      <c r="E48" s="118">
        <f t="shared" si="11"/>
        <v>0</v>
      </c>
      <c r="F48" s="125">
        <f t="shared" si="2"/>
        <v>0</v>
      </c>
      <c r="G48" s="123">
        <f t="shared" si="3"/>
        <v>0</v>
      </c>
      <c r="H48" s="123">
        <f>IF(A48&lt;=0,0,2*$K$24*SIN((2*ACOS(1-A48/$K$24)*180/PI()/2)*PI()/180))</f>
        <v>0</v>
      </c>
      <c r="I48" s="123">
        <f>IF(A48&lt;=0,0,E48/SQRT($B$8*B48/H48))</f>
        <v>0</v>
      </c>
      <c r="J48" s="118">
        <f t="shared" si="4"/>
        <v>0</v>
      </c>
      <c r="K48" s="141">
        <f t="shared" si="6"/>
        <v>0</v>
      </c>
      <c r="L48" s="6"/>
      <c r="M48" s="334"/>
      <c r="N48" s="330"/>
      <c r="O48" s="210"/>
      <c r="P48" s="207"/>
      <c r="Q48" s="116"/>
      <c r="R48" s="8"/>
      <c r="S48" s="8"/>
      <c r="T48" s="8"/>
    </row>
    <row r="49" spans="1:22" ht="20.100000000000001" customHeight="1">
      <c r="A49" s="202">
        <f>IF($B$26&lt;=0,0,$K$23/5+A50)</f>
        <v>0</v>
      </c>
      <c r="B49" s="118">
        <f>IF(A49&lt;=0,0,POWER($K$24,2)/2*(2*ACOS(1-A49/$K$24)-SIN(2*ACOS(1-A49/$K$24))))</f>
        <v>0</v>
      </c>
      <c r="C49" s="118">
        <f>IF(A49&lt;=0,0,$K$24*2*ACOS(1-A49/$K$24))</f>
        <v>0</v>
      </c>
      <c r="D49" s="118">
        <f t="shared" si="0"/>
        <v>0</v>
      </c>
      <c r="E49" s="118">
        <f t="shared" si="11"/>
        <v>0</v>
      </c>
      <c r="F49" s="125">
        <f t="shared" si="2"/>
        <v>0</v>
      </c>
      <c r="G49" s="123">
        <f t="shared" si="3"/>
        <v>0</v>
      </c>
      <c r="H49" s="123">
        <f>IF(A49&lt;=0,0,2*$K$24*SIN((2*ACOS(1-A49/$K$24)*180/PI()/2)*PI()/180))</f>
        <v>0</v>
      </c>
      <c r="I49" s="123">
        <f>IF(A49&lt;=0,0,E49/SQRT($B$8*B49/H49))</f>
        <v>0</v>
      </c>
      <c r="J49" s="118">
        <f t="shared" si="4"/>
        <v>0</v>
      </c>
      <c r="K49" s="141">
        <f t="shared" si="6"/>
        <v>0</v>
      </c>
      <c r="L49" s="6"/>
      <c r="M49" s="334"/>
      <c r="N49" s="330"/>
      <c r="O49" s="210"/>
      <c r="P49" s="207"/>
      <c r="Q49" s="116"/>
      <c r="R49" s="8"/>
      <c r="S49" s="8"/>
      <c r="T49" s="8"/>
    </row>
    <row r="50" spans="1:22" ht="20.100000000000001" customHeight="1">
      <c r="A50" s="266">
        <f>IF(B26&lt;=0,0,K23/5)</f>
        <v>0</v>
      </c>
      <c r="B50" s="126">
        <f>IF(A50&lt;=0,0,POWER($K$24,2)/2*(2*ACOS(1-A50/$K$24)-SIN(2*ACOS(1-A50/$K$24))))</f>
        <v>0</v>
      </c>
      <c r="C50" s="126">
        <f>IF(A50&lt;=0,0,$K$24*2*ACOS(1-A50/$K$24))</f>
        <v>0</v>
      </c>
      <c r="D50" s="126">
        <f t="shared" si="0"/>
        <v>0</v>
      </c>
      <c r="E50" s="126">
        <f t="shared" si="11"/>
        <v>0</v>
      </c>
      <c r="F50" s="127">
        <f t="shared" si="2"/>
        <v>0</v>
      </c>
      <c r="G50" s="128">
        <f t="shared" si="3"/>
        <v>0</v>
      </c>
      <c r="H50" s="128">
        <f>IF(A50&lt;=0,0,2*$K$24*SIN((2*ACOS(1-A50/$K$24)*180/PI()/2)*PI()/180))</f>
        <v>0</v>
      </c>
      <c r="I50" s="128">
        <f>IF(A50&lt;=0,0,E50/SQRT($B$8*B50/H50))</f>
        <v>0</v>
      </c>
      <c r="J50" s="126">
        <f t="shared" si="4"/>
        <v>0</v>
      </c>
      <c r="K50" s="131">
        <f t="shared" si="6"/>
        <v>0</v>
      </c>
      <c r="L50" s="6"/>
      <c r="M50" s="334"/>
      <c r="N50" s="158"/>
      <c r="O50" s="8"/>
      <c r="P50" s="8"/>
      <c r="Q50" s="116"/>
      <c r="R50" s="8"/>
      <c r="S50" s="8"/>
      <c r="T50" s="8"/>
    </row>
    <row r="51" spans="1:22" ht="15" customHeight="1">
      <c r="A51" s="57"/>
      <c r="B51" s="58"/>
      <c r="C51" s="58"/>
      <c r="D51" s="58"/>
      <c r="E51" s="58"/>
      <c r="F51" s="58"/>
      <c r="G51" s="59"/>
      <c r="H51" s="59"/>
      <c r="I51" s="59"/>
      <c r="J51" s="58"/>
      <c r="K51" s="59">
        <f>9.81*$B$6*D51</f>
        <v>0</v>
      </c>
      <c r="L51" s="6"/>
      <c r="M51" s="6"/>
      <c r="N51" s="9"/>
      <c r="O51" s="8"/>
      <c r="P51" s="8"/>
      <c r="Q51" s="8"/>
      <c r="R51" s="8"/>
      <c r="S51" s="8"/>
      <c r="T51" s="8"/>
    </row>
    <row r="52" spans="1:22" ht="20.100000000000001" customHeight="1">
      <c r="A52" s="114" t="s">
        <v>131</v>
      </c>
      <c r="B52" s="60"/>
      <c r="C52" s="60"/>
      <c r="D52" s="60"/>
      <c r="E52" s="60"/>
      <c r="F52" s="60"/>
      <c r="G52" s="11"/>
      <c r="H52" s="11"/>
      <c r="I52" s="59"/>
      <c r="J52" s="58"/>
      <c r="K52" s="59">
        <f>9.81*$B$6*D52</f>
        <v>0</v>
      </c>
      <c r="L52" s="6"/>
      <c r="M52" s="6"/>
      <c r="N52" s="9"/>
      <c r="O52" s="8"/>
      <c r="P52" s="8"/>
      <c r="Q52" s="8"/>
      <c r="R52" s="8"/>
      <c r="S52" s="8"/>
      <c r="T52" s="8"/>
    </row>
    <row r="53" spans="1:22" ht="20.100000000000001" customHeight="1">
      <c r="A53" s="313" t="s">
        <v>73</v>
      </c>
      <c r="B53" s="314"/>
      <c r="C53" s="314"/>
      <c r="D53" s="144"/>
      <c r="E53" s="144"/>
      <c r="F53" s="144"/>
      <c r="G53" s="145"/>
      <c r="H53" s="145"/>
      <c r="I53" s="146"/>
      <c r="J53" s="147"/>
      <c r="K53" s="146"/>
      <c r="L53" s="6"/>
      <c r="M53" s="6"/>
      <c r="N53" s="9"/>
      <c r="O53" s="8"/>
      <c r="P53" s="8"/>
      <c r="Q53" s="8"/>
      <c r="R53" s="8"/>
      <c r="S53" s="8"/>
      <c r="T53" s="8"/>
    </row>
    <row r="54" spans="1:22" ht="20.100000000000001" customHeight="1">
      <c r="A54" s="132"/>
      <c r="B54" s="81">
        <f>IF(OR(B25&lt;=0,A54&lt;=0),0,IF(AND(A54&gt;0,A54&lt;=$A$46),POWER($K$24,2)/2*(2*ACOS(1-A54/$K$24)-SIN(2*ACOS(1-A54/$K$24))),IF(AND(A54&gt;$A$46,A54&lt;=$A$36),B25/1000*(A54-$A$46)+$B$46,IF(AND(A54&gt;$A$36,A54&lt;=$A$33),$B$36+($B$25/1000+$B$25/1000-2*(A54-$A$36)*$K$19/$K$20)/2*(A54-$A$36)))))</f>
        <v>0</v>
      </c>
      <c r="C54" s="81">
        <f>IF(OR(B25&lt;=0,A54&lt;=0),0,IF(AND(A54&gt;0,A54&lt;=$A$46),$K$24*2*ACOS(1-A54/$K$24),IF(AND(A54&gt;$A$46,A54&lt;=$A$36),2*(A54-$A$46)+$C$46,IF(AND(A54&gt;$A$36,A54&lt;$A$33),$C$36+2*SQRT(POWER($K$19/$K$20*(A54-$A$36),2)+POWER((A54-$A$36),2)),IF(A54=$A$33,$C$36+2*SQRT(POWER($K$19/$K$20*(A54-$A$36),2)+POWER((A54-$A$36),2))+$B$25/1000-2*$K$19)))))</f>
        <v>0</v>
      </c>
      <c r="D54" s="81">
        <f>IF(ISERROR(B54/C54),0,B54/C54)</f>
        <v>0</v>
      </c>
      <c r="E54" s="81">
        <f>IF(ISERROR(-2*LOG(2.51*$B$9/(4*D54*SQRT(8*$B$8*D54*$B$6/1000))+$B$7/(1000*(14.84*D54)))*SQRT(8*$B$8*D54*$B$6/1000)),0,-2*LOG(2.51*$B$9/(4*D54*SQRT(8*$B$8*D54*$B$6/1000))+$B$7/(1000*(14.84*D54)))*SQRT(8*$B$8*D54*$B$6/1000))</f>
        <v>0</v>
      </c>
      <c r="F54" s="82">
        <f>E54*B54</f>
        <v>0</v>
      </c>
      <c r="G54" s="208">
        <f>IF(ISERROR(F54/$G$28),0,F54/$G$28)</f>
        <v>0</v>
      </c>
      <c r="H54" s="83">
        <f>IF(OR(B25&lt;=0,A54&lt;=0),0,IF(AND(A54&gt;0,A54&lt;=$A$46),2*$K$24*SIN((2*ACOS(1-A54/$K$24)*180/PI()/2)*PI()/180),IF(AND(A54&gt;$A$46,A54&lt;=$A$36),B25/1000,IF(AND(A54&gt;$A$36,A54&lt;=$A$33),$B$25/1000-2*(A54-$A$36)*$K$20/$K$19))))</f>
        <v>0</v>
      </c>
      <c r="I54" s="83">
        <f>IF(ISERROR(IF(A54&lt;=#REF!,E54/SQRT($B$8*B54/(2*#REF!*SIN(PI()-(4*ASIN(SQRT(A54/(2*#REF!)))/2)))),IF(AND(A54&lt;=$B$26/1000-#REF!,A54&gt;#REF!),E54/SQRT($B$8*B54/($B$25/1000)),IF(AND(A54&gt;$B$26/1000-#REF!,A54&lt;$B$26/1000),E54/SQRT($B$8*B54/($B$25/1000-2*($B$26/1000-A54)*#REF!/#REF!)),IF(A54=$B$26/1000,E54/SQRT($B$8*B54/($B$25/1000-2*#REF!)),0))))),0,IF(A54&lt;=#REF!,E54/SQRT($B$8*B54/(2*#REF!*SIN(PI()-(4*ASIN(SQRT(A54/(2*#REF!)))/2)))),IF(AND(A54&lt;=$B$26/1000-#REF!,A54&gt;#REF!),E54/SQRT($B$8*B54/($B$25/1000)),IF(AND(A54&gt;$B$26/1000-#REF!,A54&lt;$B$26/1000),E54/SQRT($B$8*B54/($B$25/1000-2*($B$26/1000-A54)*#REF!/#REF!)),IF(A54=$B$26/1000,E54/SQRT($B$8*B54/($B$25/1000-2*#REF!)),0)))))</f>
        <v>0</v>
      </c>
      <c r="J54" s="81">
        <f>IF(OR(B25&lt;=0,A54&lt;=0),0,A54+POWER(E54,2)/(2*$B$8))</f>
        <v>0</v>
      </c>
      <c r="K54" s="115">
        <f>9.81*$B$6*D54</f>
        <v>0</v>
      </c>
      <c r="L54" s="7"/>
      <c r="M54" s="6"/>
      <c r="N54" s="9"/>
      <c r="O54" s="8"/>
      <c r="P54" s="8"/>
      <c r="Q54" s="45"/>
      <c r="R54" s="8"/>
      <c r="S54" s="8"/>
      <c r="T54" s="8"/>
    </row>
    <row r="55" spans="1:22" ht="23.1" customHeight="1">
      <c r="A55" s="303" t="s">
        <v>74</v>
      </c>
      <c r="B55" s="304"/>
      <c r="C55" s="304"/>
      <c r="D55" s="304"/>
      <c r="E55" s="58"/>
      <c r="F55" s="133"/>
      <c r="G55" s="59"/>
      <c r="H55" s="59"/>
      <c r="I55" s="59"/>
      <c r="J55" s="58"/>
      <c r="K55" s="59"/>
      <c r="L55" s="7"/>
      <c r="M55" s="6"/>
      <c r="N55" s="9"/>
      <c r="O55" s="8"/>
      <c r="P55" s="8"/>
      <c r="Q55" s="45"/>
      <c r="R55" s="8"/>
      <c r="S55" s="8"/>
      <c r="T55" s="8"/>
      <c r="U55" s="8"/>
      <c r="V55" s="8"/>
    </row>
    <row r="56" spans="1:22" ht="20.100000000000001" customHeight="1">
      <c r="A56" s="132"/>
      <c r="B56" s="283">
        <f>IF(OR(B25&lt;=0,A56&lt;=0),0,IF(AND(A56&gt;0,A56&lt;=$A$46),POWER($K$24,2)/2*(2*ACOS(1-A56/$K$24)-SIN(2*ACOS(1-A56/$K$24))),IF(AND(A56&gt;$A$46,A56&lt;=$A$36),B25/1000*(A56-$A$46)+$B$46,IF(AND(A56&gt;$A$36,A56&lt;=$A$33),$B$36+($B$25/1000+$B$25/1000-2*(A56-$A$36)*$K$19/$K$20)/2*(A56-$A$36)))))</f>
        <v>0</v>
      </c>
      <c r="C56" s="283">
        <f>IF(OR(B25&lt;=0,A56&lt;=0),0,IF(AND(A56&gt;0,A56&lt;=$A$46),$K$24*2*ACOS(1-A56/$K$24),IF(AND(A56&gt;$A$46,A56&lt;=$A$36),2*(A56-$A$46)+$C$46,IF(AND(A56&gt;$A$36,A56&lt;$A$33),$C$36+2*SQRT(POWER($K$19/$K$20*(A56-$A$36),2)+POWER((A56-$A$36),2)),IF(A56=$A$33,$C$36+2*SQRT(POWER($K$19/$K$20*(A56-$A$36),2)+POWER((A56-$A$36),2))+$B$25/1000-2*$K$19)))))</f>
        <v>0</v>
      </c>
      <c r="D56" s="283">
        <f>IF(ISERROR(B56/C56),0,B56/C56)</f>
        <v>0</v>
      </c>
      <c r="E56" s="283">
        <f>IF(ISERROR(-2*LOG(2.51*$B$9/(4*D56*SQRT(8*$B$8*D56*$B$6/1000))+$B$7/(1000*(14.84*D56)))*SQRT(8*$B$8*D56*$B$6/1000)),0,-2*LOG(2.51*$B$9/(4*D56*SQRT(8*$B$8*D56*$B$6/1000))+$B$7/(1000*(14.84*D56)))*SQRT(8*$B$8*D56*$B$6/1000))</f>
        <v>0</v>
      </c>
      <c r="F56" s="284">
        <f>E56*B56</f>
        <v>0</v>
      </c>
      <c r="G56" s="285">
        <f>IF(ISERROR(F56/$G$28),0,F56/$G$28)</f>
        <v>0</v>
      </c>
      <c r="H56" s="285">
        <f>IF(OR(B25&lt;=0,A56&lt;=0),0,IF(AND(A56&gt;0,A56&lt;=$A$46),2*$K$24*SIN((2*ACOS(1-A56/$K$24)*180/PI()/2)*PI()/180),IF(AND(A56&gt;$A$46,A56&lt;=$A$36),B25/1000,IF(AND(A56&gt;$A$36,A56&lt;=$A$33),$B$25/1000-2*(A56-$A$36)*$K$20/$K$19))))</f>
        <v>0</v>
      </c>
      <c r="I56" s="285">
        <f>IF(ISERROR(IF(A56&lt;=#REF!,E56/SQRT($B$8*B56/(2*#REF!*SIN(PI()-(4*ASIN(SQRT(A56/(2*#REF!)))/2)))),IF(AND(A56&lt;=$B$26/1000-#REF!,A56&gt;#REF!),E56/SQRT($B$8*B56/($B$25/1000)),IF(AND(A56&gt;$B$26/1000-#REF!,A56&lt;$B$26/1000),E56/SQRT($B$8*B56/($B$25/1000-2*($B$26/1000-A56)*#REF!/#REF!)),IF(A56=$B$26/1000,E56/SQRT($B$8*B56/($B$25/1000-2*#REF!)),0))))),0,IF(A56&lt;=#REF!,E56/SQRT($B$8*B56/(2*#REF!*SIN(PI()-(4*ASIN(SQRT(A56/(2*#REF!)))/2)))),IF(AND(A56&lt;=$B$26/1000-#REF!,A56&gt;#REF!),E56/SQRT($B$8*B56/($B$25/1000)),IF(AND(A56&gt;$B$26/1000-#REF!,A56&lt;$B$26/1000),E56/SQRT($B$8*B56/($B$25/1000-2*($B$26/1000-A56)*#REF!/#REF!)),IF(A56=$B$26/1000,E56/SQRT($B$8*B56/($B$25/1000-2*#REF!)),0)))))</f>
        <v>0</v>
      </c>
      <c r="J56" s="284">
        <f>IF(OR(B25&lt;=0,A56&lt;=0),0,A56+POWER(E56,2)/(2*$B$8))</f>
        <v>0</v>
      </c>
      <c r="K56" s="286">
        <f>9.81*$B$6*D56</f>
        <v>0</v>
      </c>
      <c r="L56" s="7"/>
      <c r="M56" s="6"/>
      <c r="N56" s="9"/>
      <c r="O56" s="8"/>
      <c r="P56" s="8"/>
      <c r="Q56" s="16"/>
      <c r="R56" s="8"/>
      <c r="S56" s="8"/>
      <c r="T56" s="8"/>
    </row>
    <row r="57" spans="1:22" ht="15" customHeight="1">
      <c r="A57" s="61"/>
      <c r="B57" s="60"/>
      <c r="C57" s="60"/>
      <c r="D57" s="60"/>
      <c r="E57" s="60"/>
      <c r="F57" s="60"/>
      <c r="G57" s="11"/>
      <c r="H57" s="11"/>
      <c r="I57" s="6"/>
      <c r="J57" s="6"/>
      <c r="K57" s="6"/>
      <c r="L57" s="6"/>
      <c r="M57" s="6"/>
      <c r="N57" s="9"/>
      <c r="O57" s="8"/>
      <c r="P57" s="8"/>
      <c r="Q57" s="8"/>
      <c r="R57" s="8"/>
      <c r="S57" s="8"/>
      <c r="T57" s="8"/>
    </row>
    <row r="58" spans="1:22" ht="20.100000000000001" customHeight="1">
      <c r="A58" s="62" t="s">
        <v>50</v>
      </c>
      <c r="B58" s="52">
        <f>IF(J56&lt;K28,J56,0)</f>
        <v>0</v>
      </c>
      <c r="C58" s="16" t="s">
        <v>65</v>
      </c>
      <c r="D58" s="34" t="s">
        <v>51</v>
      </c>
      <c r="E58" s="52">
        <f>IF(K28&gt;J56,K28,0)</f>
        <v>0</v>
      </c>
      <c r="F58" s="6" t="s">
        <v>8</v>
      </c>
      <c r="G58" s="6"/>
      <c r="H58" s="6"/>
      <c r="I58" s="6"/>
      <c r="J58" s="6"/>
      <c r="K58" s="6"/>
      <c r="L58" s="6"/>
      <c r="M58" s="6"/>
      <c r="N58" s="9"/>
      <c r="O58" s="8"/>
      <c r="P58" s="8"/>
      <c r="Q58" s="8"/>
      <c r="R58" s="8"/>
      <c r="S58" s="8"/>
      <c r="T58" s="8"/>
    </row>
    <row r="59" spans="1:22" ht="20.100000000000001" customHeight="1">
      <c r="A59" s="63"/>
      <c r="B59" s="6" t="s">
        <v>52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9"/>
      <c r="O59" s="8"/>
      <c r="P59" s="8"/>
      <c r="Q59" s="8"/>
      <c r="R59" s="8"/>
      <c r="S59" s="8"/>
      <c r="T59" s="8"/>
    </row>
    <row r="60" spans="1:22" ht="15" customHeight="1">
      <c r="A60" s="6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9"/>
      <c r="O60" s="8"/>
      <c r="P60" s="8"/>
      <c r="Q60" s="8"/>
      <c r="R60" s="8"/>
      <c r="S60" s="8"/>
      <c r="T60" s="8"/>
    </row>
    <row r="61" spans="1:22" ht="20.100000000000001" customHeight="1">
      <c r="A61" s="62" t="s">
        <v>50</v>
      </c>
      <c r="B61" s="52">
        <f>IF(J56&lt;K28,J56,0)</f>
        <v>0</v>
      </c>
      <c r="C61" s="16" t="s">
        <v>66</v>
      </c>
      <c r="D61" s="34" t="s">
        <v>51</v>
      </c>
      <c r="E61" s="52">
        <f>IF(K28&gt;J59,K28,0)</f>
        <v>0</v>
      </c>
      <c r="F61" s="6" t="s">
        <v>8</v>
      </c>
      <c r="G61" s="6"/>
      <c r="H61" s="6"/>
      <c r="I61" s="6"/>
      <c r="J61" s="6"/>
      <c r="K61" s="6"/>
      <c r="L61" s="6"/>
      <c r="M61" s="6"/>
      <c r="N61" s="9"/>
      <c r="O61" s="8"/>
      <c r="P61" s="8"/>
      <c r="Q61" s="8"/>
      <c r="R61" s="8"/>
      <c r="S61" s="8"/>
      <c r="T61" s="8"/>
    </row>
    <row r="62" spans="1:22" ht="20.100000000000001" customHeight="1">
      <c r="A62" s="63"/>
      <c r="B62" s="6" t="s">
        <v>53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9"/>
      <c r="O62" s="8"/>
      <c r="P62" s="8"/>
      <c r="Q62" s="8"/>
      <c r="R62" s="8"/>
      <c r="S62" s="8"/>
      <c r="T62" s="8"/>
    </row>
    <row r="63" spans="1:22" ht="15" customHeight="1" thickBot="1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6"/>
      <c r="O63" s="8"/>
      <c r="P63" s="8"/>
      <c r="Q63" s="8"/>
      <c r="R63" s="8"/>
      <c r="S63" s="8"/>
      <c r="T63" s="8"/>
    </row>
    <row r="64" spans="1:22" ht="12" customHeight="1">
      <c r="A64" s="149" t="s">
        <v>125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8"/>
      <c r="O64" s="8"/>
      <c r="P64" s="8"/>
      <c r="Q64" s="8"/>
      <c r="R64" s="8"/>
      <c r="S64" s="8"/>
      <c r="T64" s="8"/>
    </row>
    <row r="65" spans="1:20" ht="20.10000000000000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8"/>
      <c r="O65" s="8"/>
      <c r="P65" s="8"/>
      <c r="Q65" s="8"/>
      <c r="R65" s="8"/>
      <c r="S65" s="8"/>
      <c r="T65" s="8"/>
    </row>
    <row r="66" spans="1:2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8"/>
      <c r="O66" s="8"/>
      <c r="P66" s="8"/>
      <c r="Q66" s="8"/>
      <c r="R66" s="8"/>
      <c r="S66" s="8"/>
      <c r="T66" s="8"/>
    </row>
    <row r="67" spans="1:2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8"/>
      <c r="O67" s="8"/>
      <c r="P67" s="8"/>
      <c r="Q67" s="8"/>
      <c r="R67" s="8"/>
      <c r="S67" s="8"/>
      <c r="T67" s="8"/>
    </row>
    <row r="68" spans="1:2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8"/>
      <c r="O68" s="8"/>
      <c r="P68" s="8"/>
      <c r="Q68" s="8"/>
      <c r="R68" s="8"/>
      <c r="S68" s="8"/>
      <c r="T68" s="8"/>
    </row>
    <row r="69" spans="1:20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1:20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1:20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1:20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1:20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20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20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1:20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1:20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20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20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20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1:1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1:1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1:1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1:1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1:1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1:1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1:1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1:1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1:1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1:1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1:1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1:1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1:1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1:1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1:1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1:1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1:1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1:1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1:1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1:1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1:1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1:1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1:1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1:1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1:1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</row>
    <row r="123" spans="1:1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</row>
    <row r="124" spans="1:1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</row>
    <row r="125" spans="1:1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</row>
    <row r="126" spans="1:1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</row>
    <row r="127" spans="1:1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1:1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1:1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1:1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</row>
    <row r="131" spans="1:1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</row>
    <row r="132" spans="1:1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</row>
    <row r="133" spans="1:1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</row>
    <row r="134" spans="1:1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</row>
    <row r="135" spans="1:1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</row>
    <row r="136" spans="1:1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1:1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1:1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</row>
    <row r="140" spans="1:1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</row>
    <row r="141" spans="1:1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</row>
    <row r="142" spans="1:1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</row>
    <row r="143" spans="1:1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</row>
    <row r="145" spans="1:1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1:1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1:1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</row>
    <row r="149" spans="1:1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</row>
    <row r="150" spans="1:1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</row>
    <row r="151" spans="1:1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</sheetData>
  <sheetProtection password="8FFE" sheet="1"/>
  <mergeCells count="22">
    <mergeCell ref="L31:M31"/>
    <mergeCell ref="N47:N49"/>
    <mergeCell ref="B1:K1"/>
    <mergeCell ref="B2:K2"/>
    <mergeCell ref="A53:C53"/>
    <mergeCell ref="A55:D55"/>
    <mergeCell ref="A24:B24"/>
    <mergeCell ref="O25:P25"/>
    <mergeCell ref="O26:P26"/>
    <mergeCell ref="M33:M35"/>
    <mergeCell ref="M46:M50"/>
    <mergeCell ref="M37:M44"/>
    <mergeCell ref="A12:B12"/>
    <mergeCell ref="A13:B13"/>
    <mergeCell ref="N39:N42"/>
    <mergeCell ref="N33:N35"/>
    <mergeCell ref="A1:A2"/>
    <mergeCell ref="A15:F15"/>
    <mergeCell ref="A4:C4"/>
    <mergeCell ref="I4:L4"/>
    <mergeCell ref="I8:J8"/>
    <mergeCell ref="L1:N2"/>
  </mergeCells>
  <phoneticPr fontId="0" type="noConversion"/>
  <printOptions horizontalCentered="1" verticalCentered="1"/>
  <pageMargins left="0.78740157480314965" right="0" top="0.19685039370078741" bottom="0" header="0" footer="0"/>
  <pageSetup paperSize="9" scale="65" orientation="portrait" copies="8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7D15-EAE7-41C9-8516-A2F98F8EC942}">
  <dimension ref="A1:T157"/>
  <sheetViews>
    <sheetView showGridLines="0" showZeros="0" zoomScaleNormal="100" workbookViewId="0">
      <selection activeCell="B5" sqref="B5"/>
    </sheetView>
  </sheetViews>
  <sheetFormatPr baseColWidth="10" defaultRowHeight="12.75"/>
  <cols>
    <col min="1" max="1" width="10.7109375" style="2" customWidth="1"/>
    <col min="2" max="11" width="11.7109375" style="2" customWidth="1"/>
    <col min="12" max="12" width="3.7109375" style="2" customWidth="1"/>
    <col min="13" max="13" width="3.85546875" style="2" customWidth="1"/>
    <col min="14" max="14" width="4.7109375" style="2" customWidth="1"/>
    <col min="15" max="22" width="11.28515625" style="2" customWidth="1"/>
    <col min="23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323"/>
      <c r="M1" s="323"/>
      <c r="N1" s="324"/>
      <c r="O1" s="139"/>
      <c r="P1" s="139"/>
      <c r="Q1" s="139"/>
      <c r="R1" s="139"/>
      <c r="S1" s="101"/>
    </row>
    <row r="2" spans="1:19" ht="30" customHeight="1">
      <c r="A2" s="306"/>
      <c r="B2" s="310" t="s">
        <v>98</v>
      </c>
      <c r="C2" s="311"/>
      <c r="D2" s="311"/>
      <c r="E2" s="311"/>
      <c r="F2" s="311"/>
      <c r="G2" s="311"/>
      <c r="H2" s="311"/>
      <c r="I2" s="311"/>
      <c r="J2" s="311"/>
      <c r="K2" s="312"/>
      <c r="L2" s="325"/>
      <c r="M2" s="325"/>
      <c r="N2" s="326"/>
      <c r="O2" s="140"/>
      <c r="P2" s="140"/>
      <c r="Q2" s="140"/>
      <c r="R2" s="140"/>
      <c r="S2" s="101"/>
    </row>
    <row r="3" spans="1:19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2"/>
      <c r="O3" s="140"/>
      <c r="P3" s="140"/>
      <c r="Q3" s="140"/>
      <c r="R3" s="140"/>
      <c r="S3" s="101"/>
    </row>
    <row r="4" spans="1:19" ht="21" customHeight="1">
      <c r="A4" s="335" t="s">
        <v>59</v>
      </c>
      <c r="B4" s="317"/>
      <c r="C4" s="317"/>
      <c r="D4" s="100"/>
      <c r="E4" s="100"/>
      <c r="F4" s="100"/>
      <c r="G4" s="99"/>
      <c r="H4" s="99"/>
      <c r="I4" s="317"/>
      <c r="J4" s="317"/>
      <c r="K4" s="317"/>
      <c r="L4" s="317"/>
      <c r="M4" s="100"/>
      <c r="N4" s="134"/>
      <c r="O4" s="100"/>
      <c r="P4" s="100"/>
      <c r="Q4" s="100"/>
      <c r="R4" s="3"/>
      <c r="S4" s="8"/>
    </row>
    <row r="5" spans="1:19" ht="21" customHeight="1">
      <c r="A5" s="5" t="s">
        <v>28</v>
      </c>
      <c r="B5" s="148"/>
      <c r="C5" s="6" t="s">
        <v>29</v>
      </c>
      <c r="D5" s="6" t="s">
        <v>67</v>
      </c>
      <c r="E5" s="6"/>
      <c r="F5" s="6"/>
      <c r="G5" s="6"/>
      <c r="H5" s="6"/>
      <c r="I5" s="77"/>
      <c r="J5" s="36"/>
      <c r="K5" s="36"/>
      <c r="L5" s="36"/>
      <c r="M5" s="36"/>
      <c r="N5" s="135"/>
      <c r="O5" s="101"/>
      <c r="P5" s="101"/>
      <c r="Q5" s="101"/>
      <c r="R5" s="8"/>
      <c r="S5" s="8"/>
    </row>
    <row r="6" spans="1:19" ht="21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6"/>
      <c r="H6" s="6"/>
      <c r="I6" s="36"/>
      <c r="J6" s="227"/>
      <c r="K6" s="227"/>
      <c r="L6" s="36"/>
      <c r="M6" s="36"/>
      <c r="N6" s="136"/>
      <c r="O6" s="36"/>
      <c r="P6" s="36"/>
      <c r="Q6" s="36"/>
      <c r="R6" s="8"/>
      <c r="S6" s="8"/>
    </row>
    <row r="7" spans="1:19" ht="21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6"/>
      <c r="H7" s="6"/>
      <c r="I7" s="36"/>
      <c r="J7" s="227"/>
      <c r="K7" s="227"/>
      <c r="L7" s="36"/>
      <c r="M7" s="36"/>
      <c r="N7" s="136"/>
      <c r="O7" s="36"/>
      <c r="P7" s="36"/>
      <c r="Q7" s="36"/>
      <c r="R7" s="8"/>
      <c r="S7" s="8"/>
    </row>
    <row r="8" spans="1:19" ht="20.100000000000001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6"/>
      <c r="H8" s="6"/>
      <c r="I8" s="103"/>
      <c r="J8" s="38"/>
      <c r="K8" s="38"/>
      <c r="L8" s="36"/>
      <c r="M8" s="36"/>
      <c r="N8" s="136"/>
      <c r="O8" s="36"/>
      <c r="P8" s="36"/>
      <c r="Q8" s="36"/>
      <c r="R8" s="8"/>
      <c r="S8" s="8"/>
    </row>
    <row r="9" spans="1:19" ht="20.100000000000001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6"/>
      <c r="H9" s="6"/>
      <c r="I9" s="104"/>
      <c r="J9" s="227"/>
      <c r="K9" s="227"/>
      <c r="L9" s="6"/>
      <c r="M9" s="6"/>
      <c r="N9" s="137"/>
      <c r="O9" s="45"/>
      <c r="P9" s="6"/>
      <c r="Q9" s="6"/>
      <c r="R9" s="8"/>
      <c r="S9" s="8"/>
    </row>
    <row r="10" spans="1:19" ht="21" customHeight="1">
      <c r="A10" s="5"/>
      <c r="B10" s="12"/>
      <c r="C10" s="13"/>
      <c r="D10" s="6"/>
      <c r="E10" s="6"/>
      <c r="F10" s="6"/>
      <c r="G10" s="6"/>
      <c r="H10" s="6"/>
      <c r="I10" s="104"/>
      <c r="J10" s="227"/>
      <c r="K10" s="227"/>
      <c r="L10" s="6"/>
      <c r="M10" s="6"/>
      <c r="N10" s="137"/>
      <c r="O10" s="34"/>
      <c r="P10" s="6"/>
      <c r="Q10" s="6"/>
      <c r="R10" s="8"/>
      <c r="S10" s="8"/>
    </row>
    <row r="11" spans="1:19" ht="21" customHeight="1">
      <c r="A11" s="39" t="s">
        <v>9</v>
      </c>
      <c r="B11" s="12"/>
      <c r="C11" s="13"/>
      <c r="D11" s="6"/>
      <c r="E11" s="6"/>
      <c r="F11" s="6"/>
      <c r="G11" s="6"/>
      <c r="H11" s="6"/>
      <c r="I11" s="104"/>
      <c r="J11" s="227"/>
      <c r="K11" s="227"/>
      <c r="L11" s="6"/>
      <c r="M11" s="6"/>
      <c r="N11" s="137"/>
      <c r="O11" s="34"/>
      <c r="P11" s="6"/>
      <c r="Q11" s="6"/>
      <c r="R11" s="8"/>
      <c r="S11" s="8"/>
    </row>
    <row r="12" spans="1:19" ht="21" customHeight="1">
      <c r="A12" s="39" t="s">
        <v>93</v>
      </c>
      <c r="B12" s="12"/>
      <c r="C12" s="13"/>
      <c r="D12" s="6"/>
      <c r="E12" s="6"/>
      <c r="F12" s="6"/>
      <c r="G12" s="6"/>
      <c r="H12" s="6"/>
      <c r="I12" s="104"/>
      <c r="J12" s="227"/>
      <c r="K12" s="227"/>
      <c r="L12" s="6"/>
      <c r="M12" s="6"/>
      <c r="N12" s="137"/>
      <c r="O12" s="34"/>
      <c r="P12" s="6"/>
      <c r="Q12" s="6"/>
      <c r="R12" s="8"/>
      <c r="S12" s="8"/>
    </row>
    <row r="13" spans="1:19" ht="21" customHeight="1">
      <c r="A13" s="63" t="s">
        <v>95</v>
      </c>
      <c r="B13" s="12"/>
      <c r="C13" s="112" t="s">
        <v>64</v>
      </c>
      <c r="D13" s="199"/>
      <c r="E13" s="6" t="s">
        <v>8</v>
      </c>
      <c r="F13" s="6"/>
      <c r="G13" s="6"/>
      <c r="H13" s="6"/>
      <c r="I13" s="104"/>
      <c r="J13" s="227"/>
      <c r="K13" s="227"/>
      <c r="L13" s="6"/>
      <c r="M13" s="6"/>
      <c r="N13" s="137"/>
      <c r="O13" s="34"/>
      <c r="P13" s="6"/>
      <c r="Q13" s="6"/>
      <c r="R13" s="8"/>
      <c r="S13" s="8"/>
    </row>
    <row r="14" spans="1:19" ht="21" customHeight="1">
      <c r="A14" s="63" t="s">
        <v>96</v>
      </c>
      <c r="B14" s="12"/>
      <c r="C14" s="112" t="s">
        <v>63</v>
      </c>
      <c r="D14" s="199"/>
      <c r="E14" s="6" t="s">
        <v>8</v>
      </c>
      <c r="F14" s="6"/>
      <c r="G14" s="6"/>
      <c r="H14" s="6"/>
      <c r="I14" s="98"/>
      <c r="J14" s="155"/>
      <c r="K14" s="155"/>
      <c r="L14" s="155"/>
      <c r="M14" s="155"/>
      <c r="N14" s="9"/>
      <c r="O14" s="216"/>
      <c r="P14" s="6"/>
      <c r="Q14" s="6"/>
      <c r="R14" s="8"/>
      <c r="S14" s="8"/>
    </row>
    <row r="15" spans="1:19" ht="18" customHeight="1">
      <c r="A15" s="63"/>
      <c r="B15" s="12"/>
      <c r="C15" s="13"/>
      <c r="D15" s="6"/>
      <c r="E15" s="6"/>
      <c r="F15" s="6"/>
      <c r="G15" s="6"/>
      <c r="H15" s="6"/>
      <c r="I15" s="218" t="s">
        <v>58</v>
      </c>
      <c r="J15" s="98"/>
      <c r="K15" s="98"/>
      <c r="L15" s="98"/>
      <c r="M15" s="98"/>
      <c r="N15" s="157"/>
      <c r="O15" s="216"/>
      <c r="P15" s="6"/>
      <c r="Q15" s="6"/>
      <c r="R15" s="8"/>
      <c r="S15" s="8"/>
    </row>
    <row r="16" spans="1:19" ht="21" customHeight="1">
      <c r="A16" s="315" t="s">
        <v>71</v>
      </c>
      <c r="B16" s="316"/>
      <c r="C16" s="316"/>
      <c r="D16" s="316"/>
      <c r="E16" s="316"/>
      <c r="F16" s="316"/>
      <c r="G16" s="6"/>
      <c r="H16" s="6"/>
      <c r="I16" s="7" t="s">
        <v>11</v>
      </c>
      <c r="J16" s="101"/>
      <c r="K16" s="8"/>
      <c r="L16" s="6"/>
      <c r="M16" s="6"/>
      <c r="N16" s="137"/>
      <c r="O16" s="34"/>
      <c r="P16" s="6"/>
      <c r="Q16" s="6"/>
      <c r="R16" s="8"/>
      <c r="S16" s="8"/>
    </row>
    <row r="17" spans="1:19" ht="21" customHeight="1">
      <c r="A17" s="15" t="s">
        <v>41</v>
      </c>
      <c r="B17" s="16"/>
      <c r="C17" s="16"/>
      <c r="D17" s="16"/>
      <c r="E17" s="16"/>
      <c r="F17" s="16"/>
      <c r="G17" s="6"/>
      <c r="H17" s="6"/>
      <c r="I17" s="14" t="s">
        <v>60</v>
      </c>
      <c r="J17" s="209">
        <f>IF(AND(A21&lt;=0,B26&lt;=0),0,0.2)</f>
        <v>0</v>
      </c>
      <c r="K17" s="156" t="s">
        <v>8</v>
      </c>
      <c r="L17" s="6"/>
      <c r="M17" s="6"/>
      <c r="N17" s="198"/>
      <c r="O17" s="34"/>
      <c r="P17" s="8"/>
      <c r="Q17" s="8"/>
      <c r="R17" s="8"/>
      <c r="S17" s="8"/>
    </row>
    <row r="18" spans="1:19" ht="21" customHeight="1">
      <c r="A18" s="15" t="s">
        <v>2</v>
      </c>
      <c r="B18" s="16"/>
      <c r="C18" s="16"/>
      <c r="D18" s="16"/>
      <c r="E18" s="6"/>
      <c r="F18" s="6"/>
      <c r="G18" s="6"/>
      <c r="H18" s="6"/>
      <c r="I18" s="14" t="s">
        <v>12</v>
      </c>
      <c r="J18" s="209">
        <f>IF(J17&lt;=0,0,0.2)</f>
        <v>0</v>
      </c>
      <c r="K18" s="156" t="s">
        <v>8</v>
      </c>
      <c r="L18" s="6"/>
      <c r="M18" s="6"/>
      <c r="N18" s="198"/>
      <c r="O18" s="34"/>
      <c r="P18" s="6"/>
      <c r="Q18" s="8"/>
      <c r="R18" s="8"/>
      <c r="S18" s="8"/>
    </row>
    <row r="19" spans="1:19" ht="20.100000000000001" customHeight="1">
      <c r="A19" s="17" t="s">
        <v>3</v>
      </c>
      <c r="B19" s="18" t="s">
        <v>4</v>
      </c>
      <c r="C19" s="19" t="s">
        <v>5</v>
      </c>
      <c r="D19" s="19" t="s">
        <v>6</v>
      </c>
      <c r="E19" s="19" t="s">
        <v>7</v>
      </c>
      <c r="F19" s="20" t="s">
        <v>35</v>
      </c>
      <c r="G19" s="6"/>
      <c r="H19" s="6"/>
      <c r="L19" s="6"/>
      <c r="M19" s="38"/>
      <c r="N19" s="135"/>
      <c r="O19" s="34"/>
      <c r="P19" s="6"/>
      <c r="Q19" s="8"/>
      <c r="R19" s="8"/>
      <c r="S19" s="8"/>
    </row>
    <row r="20" spans="1:19" ht="20.100000000000001" customHeight="1">
      <c r="A20" s="21" t="s">
        <v>0</v>
      </c>
      <c r="B20" s="22" t="s">
        <v>0</v>
      </c>
      <c r="C20" s="22" t="s">
        <v>36</v>
      </c>
      <c r="D20" s="23" t="s">
        <v>8</v>
      </c>
      <c r="E20" s="23" t="s">
        <v>8</v>
      </c>
      <c r="F20" s="24" t="s">
        <v>36</v>
      </c>
      <c r="G20" s="6"/>
      <c r="H20" s="6"/>
      <c r="I20" s="97" t="s">
        <v>56</v>
      </c>
      <c r="J20" s="8"/>
      <c r="K20" s="156"/>
      <c r="L20" s="14"/>
      <c r="M20" s="6"/>
      <c r="N20" s="198"/>
      <c r="O20" s="34"/>
      <c r="P20" s="8"/>
      <c r="Q20" s="8"/>
      <c r="R20" s="8"/>
      <c r="S20" s="8"/>
    </row>
    <row r="21" spans="1:19" ht="21" customHeight="1">
      <c r="A21" s="223"/>
      <c r="B21" s="224"/>
      <c r="C21" s="220">
        <f>IF(OR(A21&lt;=0,B21&lt;=0),0,A21/1000*(B21/1000-$J$18-$J$21)+(A21/1000-2*$J$17+A21/1000)/2*$J$18+(A21/1000+$J$23)/2*$J$21)</f>
        <v>0</v>
      </c>
      <c r="D21" s="26">
        <f>IF(A21&lt;=0,0,2*SQRT(POWER($J$21,2)+POWER($J$22,2))+$J$23+2*(B21/1000-$J$18-$J$21)+2*SQRT(POWER($J$17,2)+POWER($J$18,2))+A21/1000-2*$J$17)</f>
        <v>0</v>
      </c>
      <c r="E21" s="26">
        <f>IF(ISERROR(C21/D21),0,C21/D21)</f>
        <v>0</v>
      </c>
      <c r="F21" s="221">
        <f>IF(ISERROR($B$5/(-2*LOG(2.51*$B$9/(4*E21*SQRT(8*$B$8*E21*$B$6/1000))+$B$7/(1000*(14.84*E21)))*SQRT(8*$B$8*E21*$B$6/1000))),0,$B$5/(-2*LOG(2.51*$B$9/(4*E21*SQRT(8*$B$8*E21*$B$6/1000))+$B$7/(1000*(14.84*E21)))*SQRT(8*$B$8*E21*$B$6/1000)))</f>
        <v>0</v>
      </c>
      <c r="G21" s="296">
        <f>IF(B21&lt;=0,0,IF(B21/1000&lt;($J$18+D13),"HN erhöhen",0))</f>
        <v>0</v>
      </c>
      <c r="H21" s="6"/>
      <c r="I21" s="14" t="s">
        <v>64</v>
      </c>
      <c r="J21" s="52">
        <f>IF(B26&lt;=0,0,D13)</f>
        <v>0</v>
      </c>
      <c r="K21" s="156" t="s">
        <v>8</v>
      </c>
      <c r="L21" s="14"/>
      <c r="M21" s="6"/>
      <c r="N21" s="198"/>
      <c r="O21" s="6"/>
      <c r="P21" s="6"/>
      <c r="Q21" s="8"/>
      <c r="R21" s="8"/>
      <c r="S21" s="8"/>
    </row>
    <row r="22" spans="1:19" ht="21" customHeight="1">
      <c r="A22" s="270"/>
      <c r="B22" s="271"/>
      <c r="C22" s="260">
        <f>IF(OR(A22&lt;=0,B22&lt;=0),0,A22/1000*(B22/1000-$J$18-$J$21)+(A22/1000-2*$J$17+A22/1000)/2*$J$18+(A22/1000+$J$23)/2*$J$21)</f>
        <v>0</v>
      </c>
      <c r="D22" s="28">
        <f>IF(A22&lt;=0,0,2*SQRT(POWER($J$21,2)+POWER($J$22,2))+$J$23+2*(B22/1000-$J$18-$J$21)+2*SQRT(POWER($J$17,2)+POWER($J$18,2))+A22/1000-2*$J$17)</f>
        <v>0</v>
      </c>
      <c r="E22" s="28">
        <f>IF(ISERROR(C22/D22),0,C22/D22)</f>
        <v>0</v>
      </c>
      <c r="F22" s="261">
        <f>IF(ISERROR($B$5/(-2*LOG(2.51*$B$9/(4*E22*SQRT(8*$B$8*E22*$B$6/1000))+$B$7/(1000*(14.84*E22)))*SQRT(8*$B$8*E22*$B$6/1000))),0,$B$5/(-2*LOG(2.51*$B$9/(4*E22*SQRT(8*$B$8*E22*$B$6/1000))+$B$7/(1000*(14.84*E22)))*SQRT(8*$B$8*E22*$B$6/1000)))</f>
        <v>0</v>
      </c>
      <c r="G22" s="296">
        <f>IF(B22&lt;=0,0,IF(B22/1000&lt;($J$18+D13),"HN erhöhen",0))</f>
        <v>0</v>
      </c>
      <c r="H22" s="6"/>
      <c r="I22" s="14" t="s">
        <v>63</v>
      </c>
      <c r="J22" s="52">
        <f>IF(B26&lt;=0,0,D14)</f>
        <v>0</v>
      </c>
      <c r="K22" s="156" t="s">
        <v>8</v>
      </c>
      <c r="L22" s="14"/>
      <c r="M22" s="159"/>
      <c r="N22" s="162"/>
      <c r="O22" s="6"/>
      <c r="P22" s="6"/>
      <c r="Q22" s="8"/>
      <c r="R22" s="8"/>
      <c r="S22" s="8"/>
    </row>
    <row r="23" spans="1:19" ht="21" customHeight="1">
      <c r="A23" s="29"/>
      <c r="B23" s="30"/>
      <c r="C23" s="31"/>
      <c r="D23" s="31"/>
      <c r="E23" s="31"/>
      <c r="F23" s="31"/>
      <c r="G23" s="6"/>
      <c r="H23" s="6"/>
      <c r="I23" s="14" t="s">
        <v>81</v>
      </c>
      <c r="J23" s="52">
        <f>IF(B26&lt;=0,0,B26/1000-2*J22)</f>
        <v>0</v>
      </c>
      <c r="K23" s="217" t="s">
        <v>8</v>
      </c>
      <c r="L23" s="6"/>
      <c r="M23" s="6"/>
      <c r="N23" s="137"/>
      <c r="O23" s="6"/>
      <c r="P23" s="6"/>
      <c r="Q23" s="8"/>
      <c r="R23" s="8"/>
      <c r="S23" s="8"/>
    </row>
    <row r="24" spans="1:19" ht="20.100000000000001" customHeight="1">
      <c r="A24" s="32" t="s">
        <v>9</v>
      </c>
      <c r="B24" s="16"/>
      <c r="C24" s="16"/>
      <c r="D24" s="16"/>
      <c r="E24" s="6"/>
      <c r="F24" s="6"/>
      <c r="G24" s="6"/>
      <c r="H24" s="6"/>
      <c r="I24" s="7" t="s">
        <v>97</v>
      </c>
      <c r="J24" s="8"/>
      <c r="K24" s="4">
        <f>IF(ISERROR(K23/K22),0,K23/K22)</f>
        <v>0</v>
      </c>
      <c r="L24" s="6"/>
      <c r="M24" s="4"/>
      <c r="N24" s="163"/>
      <c r="O24" s="6"/>
      <c r="P24" s="6"/>
      <c r="Q24" s="8"/>
      <c r="R24" s="8"/>
      <c r="S24" s="8"/>
    </row>
    <row r="25" spans="1:19" ht="21" customHeight="1">
      <c r="A25" s="32" t="s">
        <v>10</v>
      </c>
      <c r="B25" s="16"/>
      <c r="C25" s="16"/>
      <c r="D25" s="16"/>
      <c r="E25" s="7" t="s">
        <v>106</v>
      </c>
      <c r="F25" s="6"/>
      <c r="G25" s="6"/>
      <c r="H25" s="6"/>
      <c r="I25" s="70" t="s">
        <v>80</v>
      </c>
      <c r="J25" s="52">
        <f>IF(J21&lt;=0,0,J22/J21)</f>
        <v>0</v>
      </c>
      <c r="K25" s="6"/>
      <c r="L25" s="8"/>
      <c r="M25" s="6"/>
      <c r="N25" s="9"/>
      <c r="O25" s="8"/>
      <c r="P25" s="8"/>
      <c r="Q25" s="8"/>
      <c r="R25" s="8"/>
      <c r="S25" s="8"/>
    </row>
    <row r="26" spans="1:19" ht="21" customHeight="1">
      <c r="A26" s="5" t="s">
        <v>3</v>
      </c>
      <c r="B26" s="236">
        <f>A22</f>
        <v>0</v>
      </c>
      <c r="C26" s="6" t="s">
        <v>0</v>
      </c>
      <c r="D26" s="33"/>
      <c r="E26" s="34" t="s">
        <v>54</v>
      </c>
      <c r="F26" s="52">
        <f>IF(OR(B26&lt;=0,B27&lt;=0),0,B26/1000*(B27/1000-$J$18-$J$21)+(B26/1000-2*$J$17+B26/1000)/2*$J$18+(B26/1000+$J$23)/2*$J$21)</f>
        <v>0</v>
      </c>
      <c r="G26" s="6" t="s">
        <v>36</v>
      </c>
      <c r="H26" s="6"/>
      <c r="K26" s="160"/>
      <c r="L26" s="78"/>
      <c r="M26" s="78"/>
      <c r="N26" s="164"/>
      <c r="O26" s="78"/>
      <c r="P26" s="78"/>
      <c r="Q26" s="8"/>
      <c r="R26" s="8"/>
      <c r="S26" s="8"/>
    </row>
    <row r="27" spans="1:19" ht="21" customHeight="1">
      <c r="A27" s="5" t="s">
        <v>4</v>
      </c>
      <c r="B27" s="236">
        <f>B22</f>
        <v>0</v>
      </c>
      <c r="C27" s="6" t="s">
        <v>0</v>
      </c>
      <c r="D27" s="6"/>
      <c r="E27" s="35" t="s">
        <v>62</v>
      </c>
      <c r="F27" s="237">
        <f>IF(OR(B26&lt;=0,B27&lt;=0),0,2*SQRT(POWER($J$21,2)+POWER($J$22,2))+$J$23+2*(B27/1000-$J$18-$J$21)+2*SQRT(POWER($J$17,2)+POWER($J$18,2))+B26/1000-2*$J$17)</f>
        <v>0</v>
      </c>
      <c r="G27" s="36" t="s">
        <v>8</v>
      </c>
      <c r="H27" s="36"/>
      <c r="I27" s="34"/>
      <c r="J27" s="8"/>
      <c r="K27" s="161"/>
      <c r="L27" s="6"/>
      <c r="M27" s="6"/>
      <c r="N27" s="165"/>
      <c r="O27" s="6"/>
      <c r="P27" s="6"/>
      <c r="Q27" s="8"/>
      <c r="R27" s="8"/>
      <c r="S27" s="8"/>
    </row>
    <row r="28" spans="1:19" ht="21" customHeight="1">
      <c r="A28" s="5"/>
      <c r="B28" s="37"/>
      <c r="C28" s="6"/>
      <c r="D28" s="6"/>
      <c r="E28" s="34" t="s">
        <v>47</v>
      </c>
      <c r="F28" s="289">
        <f>IF(OR(B26&lt;=0,B6&lt;=0),0,-2*LOG(2.51*$B$9/(4*F26/F27*SQRT(8*$B$8*F26/F27*$B$6/1000))+$B$7/(1000*(14.84*F26/F27)))*SQRT(8*$B$8*F26/F27*$B$6/1000))</f>
        <v>0</v>
      </c>
      <c r="G28" s="78" t="s">
        <v>15</v>
      </c>
      <c r="H28" s="78"/>
      <c r="I28" s="14" t="s">
        <v>84</v>
      </c>
      <c r="J28" s="8"/>
      <c r="K28" s="8"/>
      <c r="L28" s="154"/>
      <c r="M28" s="6"/>
      <c r="N28" s="9"/>
      <c r="O28" s="8"/>
      <c r="P28" s="8"/>
      <c r="Q28" s="8"/>
      <c r="R28" s="8"/>
      <c r="S28" s="8"/>
    </row>
    <row r="29" spans="1:19" ht="21" customHeight="1">
      <c r="A29" s="5"/>
      <c r="B29" s="37"/>
      <c r="C29" s="6"/>
      <c r="D29" s="6"/>
      <c r="E29" s="200" t="s">
        <v>107</v>
      </c>
      <c r="F29" s="290">
        <f>F28*F26</f>
        <v>0</v>
      </c>
      <c r="G29" s="6" t="s">
        <v>29</v>
      </c>
      <c r="I29" s="14" t="s">
        <v>85</v>
      </c>
      <c r="J29" s="52">
        <f>B27/1000+POWER(F28,2)/2/B8</f>
        <v>0</v>
      </c>
      <c r="K29" s="16" t="s">
        <v>8</v>
      </c>
      <c r="L29" s="337"/>
      <c r="M29" s="337"/>
      <c r="N29" s="165"/>
      <c r="O29" s="16"/>
      <c r="P29" s="8"/>
      <c r="Q29" s="8"/>
      <c r="R29" s="8"/>
      <c r="S29" s="8"/>
    </row>
    <row r="30" spans="1:19" ht="21" customHeight="1">
      <c r="A30" s="39" t="s">
        <v>49</v>
      </c>
      <c r="B30" s="6"/>
      <c r="C30" s="6"/>
      <c r="D30" s="6"/>
      <c r="E30" s="6"/>
      <c r="F30" s="6"/>
      <c r="G30" s="6"/>
      <c r="I30" s="6"/>
      <c r="J30" s="6"/>
      <c r="K30" s="6"/>
      <c r="L30" s="6"/>
      <c r="M30" s="6"/>
      <c r="N30" s="9"/>
      <c r="O30" s="8"/>
      <c r="P30" s="8"/>
      <c r="Q30" s="8"/>
      <c r="R30" s="8"/>
      <c r="S30" s="8"/>
    </row>
    <row r="31" spans="1:19" ht="45" customHeight="1">
      <c r="A31" s="40" t="s">
        <v>16</v>
      </c>
      <c r="B31" s="19" t="s">
        <v>17</v>
      </c>
      <c r="C31" s="19" t="s">
        <v>18</v>
      </c>
      <c r="D31" s="19" t="s">
        <v>19</v>
      </c>
      <c r="E31" s="19" t="s">
        <v>20</v>
      </c>
      <c r="F31" s="18" t="s">
        <v>21</v>
      </c>
      <c r="G31" s="19" t="s">
        <v>22</v>
      </c>
      <c r="H31" s="19" t="s">
        <v>90</v>
      </c>
      <c r="I31" s="18" t="s">
        <v>23</v>
      </c>
      <c r="J31" s="19" t="s">
        <v>24</v>
      </c>
      <c r="K31" s="20" t="s">
        <v>83</v>
      </c>
      <c r="L31" s="6"/>
      <c r="M31" s="6"/>
      <c r="N31" s="9"/>
      <c r="O31" s="8"/>
      <c r="P31" s="8"/>
      <c r="Q31" s="8"/>
      <c r="R31" s="8"/>
      <c r="S31" s="8"/>
    </row>
    <row r="32" spans="1:19" ht="21" customHeight="1">
      <c r="A32" s="41" t="s">
        <v>61</v>
      </c>
      <c r="B32" s="42" t="s">
        <v>5</v>
      </c>
      <c r="C32" s="42" t="s">
        <v>37</v>
      </c>
      <c r="D32" s="42" t="s">
        <v>38</v>
      </c>
      <c r="E32" s="42" t="s">
        <v>25</v>
      </c>
      <c r="F32" s="43" t="s">
        <v>72</v>
      </c>
      <c r="G32" s="42" t="s">
        <v>39</v>
      </c>
      <c r="H32" s="42" t="s">
        <v>91</v>
      </c>
      <c r="I32" s="43" t="s">
        <v>26</v>
      </c>
      <c r="J32" s="43" t="s">
        <v>40</v>
      </c>
      <c r="K32" s="108" t="s">
        <v>87</v>
      </c>
      <c r="L32" s="321" t="s">
        <v>76</v>
      </c>
      <c r="M32" s="322"/>
      <c r="N32" s="9"/>
      <c r="O32" s="8"/>
      <c r="P32" s="8"/>
      <c r="Q32" s="8"/>
      <c r="R32" s="8"/>
      <c r="S32" s="8"/>
    </row>
    <row r="33" spans="1:19" ht="21" customHeight="1">
      <c r="A33" s="21" t="s">
        <v>8</v>
      </c>
      <c r="B33" s="22" t="s">
        <v>36</v>
      </c>
      <c r="C33" s="22" t="s">
        <v>8</v>
      </c>
      <c r="D33" s="22" t="s">
        <v>8</v>
      </c>
      <c r="E33" s="22" t="s">
        <v>15</v>
      </c>
      <c r="F33" s="22" t="s">
        <v>29</v>
      </c>
      <c r="G33" s="22" t="s">
        <v>27</v>
      </c>
      <c r="H33" s="22" t="s">
        <v>8</v>
      </c>
      <c r="I33" s="22" t="s">
        <v>27</v>
      </c>
      <c r="J33" s="22" t="s">
        <v>8</v>
      </c>
      <c r="K33" s="107" t="s">
        <v>86</v>
      </c>
      <c r="L33" s="46"/>
      <c r="M33" s="6"/>
      <c r="N33" s="9"/>
      <c r="O33" s="8"/>
      <c r="P33" s="8"/>
      <c r="Q33" s="8"/>
      <c r="R33" s="8"/>
      <c r="S33" s="8"/>
    </row>
    <row r="34" spans="1:19" ht="21" customHeight="1">
      <c r="A34" s="203">
        <f>IF($B$27&lt;=0,0,A35+$J$18/3)</f>
        <v>0</v>
      </c>
      <c r="B34" s="118">
        <f>IF(A34&lt;=0,0,$B$37+($B$26/1000+$B$26/1000-2*(A34-$A$37)*$J$18/$J$17)/2*(A34-$A$37))</f>
        <v>0</v>
      </c>
      <c r="C34" s="118">
        <f>IF(A34&lt;=0,0,B26/1000-2*J17+$C$37+2*SQRT(POWER($J$18/$J$17*(A34-$A$37),2)+POWER((A34-$A$37),2)))</f>
        <v>0</v>
      </c>
      <c r="D34" s="120">
        <f t="shared" ref="D34:D51" si="0">IF(ISERROR(B34/C34),0,B34/C34)</f>
        <v>0</v>
      </c>
      <c r="E34" s="120">
        <f>IF(ISERROR(IF(A34&lt;=0,0,-2*LOG(2.51*$B$9/(4*D34*SQRT(8*$B$8*D34*$B$6/1000))+$B$7/(1000*(14.84*D34)))*SQRT(8*$B$8*D34*$B$6/1000))),0,IF(A34&lt;=0,0,-2*LOG(2.51*$B$9/(4*D34*SQRT(8*$B$8*D34*$B$6/1000))+$B$7/(1000*(14.84*D34)))*SQRT(8*$B$8*D34*$B$6/1000)))</f>
        <v>0</v>
      </c>
      <c r="F34" s="129">
        <f t="shared" ref="F34:F51" si="1">E34*B34</f>
        <v>0</v>
      </c>
      <c r="G34" s="130">
        <f>IF(ISERROR(F34/$F$29),0,F34/$F$29)</f>
        <v>0</v>
      </c>
      <c r="H34" s="130">
        <f>IF(A34&lt;=0,0,$B$26/1000-2*(A34-$A$37)*$J$18/$J$17)</f>
        <v>0</v>
      </c>
      <c r="I34" s="130">
        <f>IF(A34&lt;=0,0,E34/SQRT($B$8*B34/H34))</f>
        <v>0</v>
      </c>
      <c r="J34" s="119">
        <f t="shared" ref="J34:J51" si="2">A34+POWER(E34,2)/(2*$B$8)</f>
        <v>0</v>
      </c>
      <c r="K34" s="124">
        <f>9.81*$B$6*D34</f>
        <v>0</v>
      </c>
      <c r="L34" s="6"/>
      <c r="M34" s="333">
        <f>IF(AND(J17&lt;=0,J18&lt;=0),0,"Voute")</f>
        <v>0</v>
      </c>
      <c r="N34" s="330">
        <f>IF(AND(J17&lt;=0,J18&lt;=0),0,J18)</f>
        <v>0</v>
      </c>
      <c r="O34" s="8"/>
      <c r="P34" s="8"/>
      <c r="Q34" s="8"/>
      <c r="R34" s="8"/>
      <c r="S34" s="8"/>
    </row>
    <row r="35" spans="1:19" ht="21" customHeight="1">
      <c r="A35" s="202">
        <f>IF($B$27&lt;=0,0,A36+$J$18/3)</f>
        <v>0</v>
      </c>
      <c r="B35" s="118">
        <f>IF(A35&lt;=0,0,$B$37+($B$26/1000+$B$26/1000-2*(A35-$A$37)*$J$18/$J$17)/2*(A35-$A$37))</f>
        <v>0</v>
      </c>
      <c r="C35" s="118">
        <f>IF(A35&lt;=0,0,$C$37+2*SQRT(POWER($J$18/$J$17*(A35-$A$37),2)+POWER((A35-$A$37),2)))</f>
        <v>0</v>
      </c>
      <c r="D35" s="118">
        <f t="shared" si="0"/>
        <v>0</v>
      </c>
      <c r="E35" s="118">
        <f t="shared" ref="E35:E51" si="3">IF(ISERROR(IF(A35&lt;=0,0,-2*LOG(2.51*$B$9/(4*D35*SQRT(8*$B$8*D35*$B$6/1000))+$B$7/(1000*(14.84*D35)))*SQRT(8*$B$8*D35*$B$6/1000))),0,IF(A35&lt;=0,0,-2*LOG(2.51*$B$9/(4*D35*SQRT(8*$B$8*D35*$B$6/1000))+$B$7/(1000*(14.84*D35)))*SQRT(8*$B$8*D35*$B$6/1000)))</f>
        <v>0</v>
      </c>
      <c r="F35" s="125">
        <f t="shared" si="1"/>
        <v>0</v>
      </c>
      <c r="G35" s="123">
        <f>IF(ISERROR(F35/$F$29),0,F35/$F$29)</f>
        <v>0</v>
      </c>
      <c r="H35" s="123">
        <f>IF(A35&lt;=0,0,$B$26/1000-2*(A35-$A$37)*$J$18/$J$17)</f>
        <v>0</v>
      </c>
      <c r="I35" s="123">
        <f>IF(A35&lt;=0,0,E35/SQRT($B$8*B35/H35))</f>
        <v>0</v>
      </c>
      <c r="J35" s="118">
        <f t="shared" si="2"/>
        <v>0</v>
      </c>
      <c r="K35" s="141">
        <f t="shared" ref="K35:K57" si="4">9.81*$B$6*D35</f>
        <v>0</v>
      </c>
      <c r="L35" s="6"/>
      <c r="M35" s="333"/>
      <c r="N35" s="330"/>
      <c r="O35" s="8"/>
      <c r="P35" s="8"/>
      <c r="Q35" s="8"/>
      <c r="R35" s="8"/>
      <c r="S35" s="8"/>
    </row>
    <row r="36" spans="1:19" ht="21" customHeight="1">
      <c r="A36" s="266">
        <f>IF($B$27&lt;=0,0,IF(AND(J17&lt;=0,J18&lt;=0),0,A37+$J$18/3))</f>
        <v>0</v>
      </c>
      <c r="B36" s="126">
        <f>IF(A36&lt;=0,0,$B$37+($B$26/1000+$B$26/1000-2*(A36-$A$37)*$J$18/$J$17)/2*(A36-$A$37))</f>
        <v>0</v>
      </c>
      <c r="C36" s="126">
        <f>IF(A36&lt;=0,0,$C$37+2*SQRT(POWER($J$18/$J$17*(A36-$A$37),2)+POWER((A36-$A$37),2)))</f>
        <v>0</v>
      </c>
      <c r="D36" s="126">
        <f t="shared" si="0"/>
        <v>0</v>
      </c>
      <c r="E36" s="126">
        <f t="shared" si="3"/>
        <v>0</v>
      </c>
      <c r="F36" s="127">
        <f t="shared" si="1"/>
        <v>0</v>
      </c>
      <c r="G36" s="128">
        <f>IF(ISERROR(F36/$F$29),0,F36/$F$29)</f>
        <v>0</v>
      </c>
      <c r="H36" s="128">
        <f>IF(A36&lt;=0,0,$B$26/1000-2*(A36-$A$37)*$J$18/$J$17)</f>
        <v>0</v>
      </c>
      <c r="I36" s="128">
        <f>IF(A36&lt;=0,0,E36/SQRT($B$8*B36/H36))</f>
        <v>0</v>
      </c>
      <c r="J36" s="126">
        <f t="shared" si="2"/>
        <v>0</v>
      </c>
      <c r="K36" s="131">
        <f t="shared" si="4"/>
        <v>0</v>
      </c>
      <c r="L36" s="53"/>
      <c r="M36" s="333"/>
      <c r="N36" s="330"/>
      <c r="O36" s="8"/>
      <c r="P36" s="8"/>
      <c r="Q36" s="8"/>
      <c r="R36" s="8"/>
      <c r="S36" s="8"/>
    </row>
    <row r="37" spans="1:19" ht="21" customHeight="1">
      <c r="A37" s="267">
        <f t="shared" ref="A37:A45" si="5">IF($B$27&lt;=0,0,($B$27/1000-$J$18-$J$21)/10+A38)</f>
        <v>0</v>
      </c>
      <c r="B37" s="26">
        <f t="shared" ref="B37:B46" si="6">IF(A37&lt;=0,0,B38+(A37-A38)*$B$26/1000)</f>
        <v>0</v>
      </c>
      <c r="C37" s="26">
        <f>IF(A37&lt;=0,0,IF(A37=B27/1000,(A37-A38)*2+C38+B26/1000,(A37-A38)*2+C38))</f>
        <v>0</v>
      </c>
      <c r="D37" s="26">
        <f t="shared" si="0"/>
        <v>0</v>
      </c>
      <c r="E37" s="26">
        <f t="shared" si="3"/>
        <v>0</v>
      </c>
      <c r="F37" s="25">
        <f t="shared" si="1"/>
        <v>0</v>
      </c>
      <c r="G37" s="56">
        <f>IF(ISERROR(F37/$F$29),0,F37/$F$29)</f>
        <v>0</v>
      </c>
      <c r="H37" s="56">
        <f>$B$26/1000</f>
        <v>0</v>
      </c>
      <c r="I37" s="56">
        <f>IF(A37&lt;=0,0,E37/SQRT($B$8*B37/H37))</f>
        <v>0</v>
      </c>
      <c r="J37" s="26">
        <f t="shared" si="2"/>
        <v>0</v>
      </c>
      <c r="K37" s="109">
        <f t="shared" si="4"/>
        <v>0</v>
      </c>
      <c r="L37" s="6"/>
      <c r="M37" s="6"/>
      <c r="N37" s="9"/>
      <c r="O37" s="142"/>
      <c r="P37" s="142"/>
      <c r="Q37" s="142"/>
      <c r="R37" s="8"/>
      <c r="S37" s="8"/>
    </row>
    <row r="38" spans="1:19" ht="21" customHeight="1">
      <c r="A38" s="268">
        <f t="shared" si="5"/>
        <v>0</v>
      </c>
      <c r="B38" s="51">
        <f t="shared" si="6"/>
        <v>0</v>
      </c>
      <c r="C38" s="26">
        <f t="shared" ref="C38:C46" si="7">IF(A38&lt;=0,0,(A38-A39)*2+C39)</f>
        <v>0</v>
      </c>
      <c r="D38" s="26">
        <f t="shared" si="0"/>
        <v>0</v>
      </c>
      <c r="E38" s="51">
        <f>IF(ISERROR(IF(A38&lt;=0,0,-2*LOG(2.51*$B$9/(4*D38*SQRT(8*$B$8*D38*$B$6/1000))+$B$7/(1000*(14.84*D38)))*SQRT(8*$B$8*D38*$B$6/1000))),0,IF(A38&lt;=0,0,-2*LOG(2.51*$B$9/(4*D38*SQRT(8*$B$8*D38*$B$6/1000))+$B$7/(1000*(14.84*D38)))*SQRT(8*$B$8*D38*$B$6/1000)))</f>
        <v>0</v>
      </c>
      <c r="F38" s="25">
        <f t="shared" si="1"/>
        <v>0</v>
      </c>
      <c r="G38" s="50">
        <f t="shared" ref="G38:G51" si="8">IF(ISERROR(F38/$F$29),0,F38/$F$29)</f>
        <v>0</v>
      </c>
      <c r="H38" s="50">
        <f t="shared" ref="H38:H46" si="9">$B$26/1000</f>
        <v>0</v>
      </c>
      <c r="I38" s="56">
        <f t="shared" ref="I38:I46" si="10">IF(A38&lt;=0,0,E38/SQRT($B$8*B38/H38))</f>
        <v>0</v>
      </c>
      <c r="J38" s="51">
        <f t="shared" si="2"/>
        <v>0</v>
      </c>
      <c r="K38" s="111">
        <f t="shared" si="4"/>
        <v>0</v>
      </c>
      <c r="L38" s="6"/>
      <c r="M38" s="6"/>
      <c r="N38" s="9"/>
      <c r="O38" s="8"/>
      <c r="P38" s="8"/>
      <c r="Q38" s="8"/>
      <c r="R38" s="8"/>
      <c r="S38" s="8"/>
    </row>
    <row r="39" spans="1:19" ht="21" customHeight="1">
      <c r="A39" s="268">
        <f t="shared" si="5"/>
        <v>0</v>
      </c>
      <c r="B39" s="51">
        <f t="shared" si="6"/>
        <v>0</v>
      </c>
      <c r="C39" s="26">
        <f t="shared" si="7"/>
        <v>0</v>
      </c>
      <c r="D39" s="26">
        <f t="shared" si="0"/>
        <v>0</v>
      </c>
      <c r="E39" s="51">
        <f t="shared" si="3"/>
        <v>0</v>
      </c>
      <c r="F39" s="25">
        <f t="shared" si="1"/>
        <v>0</v>
      </c>
      <c r="G39" s="50">
        <f t="shared" si="8"/>
        <v>0</v>
      </c>
      <c r="H39" s="50">
        <f>$B$26/1000</f>
        <v>0</v>
      </c>
      <c r="I39" s="56">
        <f t="shared" si="10"/>
        <v>0</v>
      </c>
      <c r="J39" s="51">
        <f t="shared" si="2"/>
        <v>0</v>
      </c>
      <c r="K39" s="111">
        <f t="shared" si="4"/>
        <v>0</v>
      </c>
      <c r="L39" s="6"/>
      <c r="M39" s="334" t="s">
        <v>124</v>
      </c>
      <c r="N39" s="158"/>
      <c r="O39" s="210"/>
      <c r="P39" s="154"/>
      <c r="Q39" s="154"/>
      <c r="R39" s="8"/>
      <c r="S39" s="8"/>
    </row>
    <row r="40" spans="1:19" ht="21" customHeight="1">
      <c r="A40" s="268">
        <f t="shared" si="5"/>
        <v>0</v>
      </c>
      <c r="B40" s="51">
        <f t="shared" si="6"/>
        <v>0</v>
      </c>
      <c r="C40" s="26">
        <f>IF(A40&lt;=0,0,(A40-A41)*2+C41)</f>
        <v>0</v>
      </c>
      <c r="D40" s="26">
        <f t="shared" si="0"/>
        <v>0</v>
      </c>
      <c r="E40" s="51">
        <f t="shared" si="3"/>
        <v>0</v>
      </c>
      <c r="F40" s="25">
        <f t="shared" si="1"/>
        <v>0</v>
      </c>
      <c r="G40" s="50">
        <f t="shared" si="8"/>
        <v>0</v>
      </c>
      <c r="H40" s="50">
        <f t="shared" si="9"/>
        <v>0</v>
      </c>
      <c r="I40" s="56">
        <f t="shared" si="10"/>
        <v>0</v>
      </c>
      <c r="J40" s="51">
        <f t="shared" si="2"/>
        <v>0</v>
      </c>
      <c r="K40" s="111">
        <f t="shared" si="4"/>
        <v>0</v>
      </c>
      <c r="L40" s="6"/>
      <c r="M40" s="334"/>
      <c r="N40" s="330">
        <f>IF(B26&lt;=0,0,B27/1000-J21-J18)</f>
        <v>0</v>
      </c>
      <c r="O40" s="210"/>
      <c r="P40" s="154"/>
      <c r="Q40" s="154"/>
      <c r="R40" s="8"/>
      <c r="S40" s="8"/>
    </row>
    <row r="41" spans="1:19" ht="21" customHeight="1">
      <c r="A41" s="268">
        <f t="shared" si="5"/>
        <v>0</v>
      </c>
      <c r="B41" s="51">
        <f>IF(A41&lt;=0,0,B42+(A41-A42)*$B$26/1000)</f>
        <v>0</v>
      </c>
      <c r="C41" s="26">
        <f t="shared" si="7"/>
        <v>0</v>
      </c>
      <c r="D41" s="26">
        <f t="shared" si="0"/>
        <v>0</v>
      </c>
      <c r="E41" s="51">
        <f t="shared" si="3"/>
        <v>0</v>
      </c>
      <c r="F41" s="25">
        <f t="shared" si="1"/>
        <v>0</v>
      </c>
      <c r="G41" s="50">
        <f t="shared" si="8"/>
        <v>0</v>
      </c>
      <c r="H41" s="50">
        <f t="shared" si="9"/>
        <v>0</v>
      </c>
      <c r="I41" s="56">
        <f t="shared" si="10"/>
        <v>0</v>
      </c>
      <c r="J41" s="51">
        <f t="shared" si="2"/>
        <v>0</v>
      </c>
      <c r="K41" s="111">
        <f t="shared" si="4"/>
        <v>0</v>
      </c>
      <c r="L41" s="6"/>
      <c r="M41" s="334"/>
      <c r="N41" s="330"/>
      <c r="O41" s="210"/>
      <c r="P41" s="154"/>
      <c r="Q41" s="154"/>
      <c r="R41" s="8"/>
      <c r="S41" s="8"/>
    </row>
    <row r="42" spans="1:19" ht="21" customHeight="1">
      <c r="A42" s="268">
        <f t="shared" si="5"/>
        <v>0</v>
      </c>
      <c r="B42" s="51">
        <f t="shared" si="6"/>
        <v>0</v>
      </c>
      <c r="C42" s="26">
        <f t="shared" si="7"/>
        <v>0</v>
      </c>
      <c r="D42" s="26">
        <f t="shared" si="0"/>
        <v>0</v>
      </c>
      <c r="E42" s="51">
        <f t="shared" si="3"/>
        <v>0</v>
      </c>
      <c r="F42" s="25">
        <f t="shared" si="1"/>
        <v>0</v>
      </c>
      <c r="G42" s="50">
        <f t="shared" si="8"/>
        <v>0</v>
      </c>
      <c r="H42" s="50">
        <f t="shared" si="9"/>
        <v>0</v>
      </c>
      <c r="I42" s="56">
        <f t="shared" si="10"/>
        <v>0</v>
      </c>
      <c r="J42" s="51">
        <f t="shared" si="2"/>
        <v>0</v>
      </c>
      <c r="K42" s="111">
        <f t="shared" si="4"/>
        <v>0</v>
      </c>
      <c r="L42" s="6"/>
      <c r="M42" s="334"/>
      <c r="N42" s="330"/>
      <c r="O42" s="210"/>
      <c r="P42" s="154"/>
      <c r="Q42" s="154"/>
      <c r="R42" s="8"/>
      <c r="S42" s="8"/>
    </row>
    <row r="43" spans="1:19" ht="21" customHeight="1">
      <c r="A43" s="268">
        <f t="shared" si="5"/>
        <v>0</v>
      </c>
      <c r="B43" s="51">
        <f t="shared" si="6"/>
        <v>0</v>
      </c>
      <c r="C43" s="26">
        <f t="shared" si="7"/>
        <v>0</v>
      </c>
      <c r="D43" s="26">
        <f t="shared" si="0"/>
        <v>0</v>
      </c>
      <c r="E43" s="51">
        <f t="shared" si="3"/>
        <v>0</v>
      </c>
      <c r="F43" s="25">
        <f t="shared" si="1"/>
        <v>0</v>
      </c>
      <c r="G43" s="50">
        <f t="shared" si="8"/>
        <v>0</v>
      </c>
      <c r="H43" s="50">
        <f t="shared" si="9"/>
        <v>0</v>
      </c>
      <c r="I43" s="56">
        <f t="shared" si="10"/>
        <v>0</v>
      </c>
      <c r="J43" s="51">
        <f t="shared" si="2"/>
        <v>0</v>
      </c>
      <c r="K43" s="111">
        <f t="shared" si="4"/>
        <v>0</v>
      </c>
      <c r="L43" s="6"/>
      <c r="M43" s="334"/>
      <c r="N43" s="330"/>
      <c r="O43" s="210"/>
      <c r="P43" s="154"/>
      <c r="Q43" s="154"/>
      <c r="R43" s="8"/>
      <c r="S43" s="8"/>
    </row>
    <row r="44" spans="1:19" ht="21" customHeight="1">
      <c r="A44" s="268">
        <f t="shared" si="5"/>
        <v>0</v>
      </c>
      <c r="B44" s="51">
        <f t="shared" si="6"/>
        <v>0</v>
      </c>
      <c r="C44" s="51">
        <f t="shared" si="7"/>
        <v>0</v>
      </c>
      <c r="D44" s="26">
        <f t="shared" si="0"/>
        <v>0</v>
      </c>
      <c r="E44" s="51">
        <f t="shared" si="3"/>
        <v>0</v>
      </c>
      <c r="F44" s="25">
        <f t="shared" si="1"/>
        <v>0</v>
      </c>
      <c r="G44" s="50">
        <f t="shared" si="8"/>
        <v>0</v>
      </c>
      <c r="H44" s="50">
        <f t="shared" si="9"/>
        <v>0</v>
      </c>
      <c r="I44" s="56">
        <f t="shared" si="10"/>
        <v>0</v>
      </c>
      <c r="J44" s="51">
        <f t="shared" si="2"/>
        <v>0</v>
      </c>
      <c r="K44" s="111">
        <f t="shared" si="4"/>
        <v>0</v>
      </c>
      <c r="L44" s="6"/>
      <c r="M44" s="334"/>
      <c r="N44" s="158"/>
      <c r="O44" s="210"/>
      <c r="P44" s="154"/>
      <c r="Q44" s="154"/>
      <c r="R44" s="8"/>
      <c r="S44" s="8"/>
    </row>
    <row r="45" spans="1:19" ht="21" customHeight="1">
      <c r="A45" s="268">
        <f t="shared" si="5"/>
        <v>0</v>
      </c>
      <c r="B45" s="51">
        <f t="shared" si="6"/>
        <v>0</v>
      </c>
      <c r="C45" s="51">
        <f t="shared" si="7"/>
        <v>0</v>
      </c>
      <c r="D45" s="26">
        <f t="shared" si="0"/>
        <v>0</v>
      </c>
      <c r="E45" s="51">
        <f t="shared" si="3"/>
        <v>0</v>
      </c>
      <c r="F45" s="25">
        <f t="shared" si="1"/>
        <v>0</v>
      </c>
      <c r="G45" s="50">
        <f t="shared" si="8"/>
        <v>0</v>
      </c>
      <c r="H45" s="50">
        <f t="shared" si="9"/>
        <v>0</v>
      </c>
      <c r="I45" s="56">
        <f t="shared" si="10"/>
        <v>0</v>
      </c>
      <c r="J45" s="51">
        <f t="shared" si="2"/>
        <v>0</v>
      </c>
      <c r="K45" s="111">
        <f t="shared" si="4"/>
        <v>0</v>
      </c>
      <c r="L45" s="6"/>
      <c r="M45" s="6"/>
      <c r="N45" s="158"/>
      <c r="O45" s="210"/>
      <c r="P45" s="154"/>
      <c r="Q45" s="154"/>
      <c r="R45" s="8"/>
      <c r="S45" s="8"/>
    </row>
    <row r="46" spans="1:19" ht="21" customHeight="1">
      <c r="A46" s="269">
        <f>IF($B$27&lt;=0,0,($B$27/1000-$J$18-$J$21)/10+A47)</f>
        <v>0</v>
      </c>
      <c r="B46" s="28">
        <f t="shared" si="6"/>
        <v>0</v>
      </c>
      <c r="C46" s="28">
        <f t="shared" si="7"/>
        <v>0</v>
      </c>
      <c r="D46" s="28">
        <f t="shared" si="0"/>
        <v>0</v>
      </c>
      <c r="E46" s="28">
        <f t="shared" si="3"/>
        <v>0</v>
      </c>
      <c r="F46" s="27">
        <f t="shared" si="1"/>
        <v>0</v>
      </c>
      <c r="G46" s="55">
        <f t="shared" si="8"/>
        <v>0</v>
      </c>
      <c r="H46" s="55">
        <f t="shared" si="9"/>
        <v>0</v>
      </c>
      <c r="I46" s="55">
        <f t="shared" si="10"/>
        <v>0</v>
      </c>
      <c r="J46" s="28">
        <f t="shared" si="2"/>
        <v>0</v>
      </c>
      <c r="K46" s="110">
        <f t="shared" si="4"/>
        <v>0</v>
      </c>
      <c r="L46" s="53"/>
      <c r="M46" s="6"/>
      <c r="N46" s="9"/>
      <c r="O46" s="210"/>
      <c r="P46" s="8"/>
      <c r="Q46" s="8"/>
      <c r="R46" s="8"/>
      <c r="S46" s="8"/>
    </row>
    <row r="47" spans="1:19" ht="21" customHeight="1">
      <c r="A47" s="202">
        <f>IF($B$27&lt;=0,0,$J$21/5+A48)</f>
        <v>0</v>
      </c>
      <c r="B47" s="118">
        <f>IF(A47&lt;=0,0,($J$23+$J$22/$J$21*A47)*A47)</f>
        <v>0</v>
      </c>
      <c r="C47" s="118">
        <f>IF(A47&lt;=0,0,$J$23+2*SQRT(POWER((A47*$J$22/$J$21),2)+POWER(A47,2)))</f>
        <v>0</v>
      </c>
      <c r="D47" s="119">
        <f t="shared" si="0"/>
        <v>0</v>
      </c>
      <c r="E47" s="119">
        <f t="shared" si="3"/>
        <v>0</v>
      </c>
      <c r="F47" s="121">
        <f t="shared" si="1"/>
        <v>0</v>
      </c>
      <c r="G47" s="130">
        <f t="shared" si="8"/>
        <v>0</v>
      </c>
      <c r="H47" s="122">
        <f>IF(A47&lt;=0,0,$J$23+2*A47*$J$22/$J$21)</f>
        <v>0</v>
      </c>
      <c r="I47" s="122">
        <f>IF(A47&lt;=0,0,E47/SQRT($B$8*B47/H47))</f>
        <v>0</v>
      </c>
      <c r="J47" s="119">
        <f t="shared" si="2"/>
        <v>0</v>
      </c>
      <c r="K47" s="124">
        <f t="shared" si="4"/>
        <v>0</v>
      </c>
      <c r="L47" s="6"/>
      <c r="M47" s="336" t="s">
        <v>79</v>
      </c>
      <c r="N47" s="158"/>
      <c r="O47" s="210"/>
      <c r="P47" s="8"/>
      <c r="R47" s="8"/>
      <c r="S47" s="8"/>
    </row>
    <row r="48" spans="1:19" ht="21" customHeight="1">
      <c r="A48" s="202">
        <f>IF($B$27&lt;=0,0,$J$21/5+A49)</f>
        <v>0</v>
      </c>
      <c r="B48" s="118">
        <f>IF(A48&lt;=0,0,($J$23+$J$22/$J$21*A48)*A48)</f>
        <v>0</v>
      </c>
      <c r="C48" s="118">
        <f>IF(A48&lt;=0,0,$J$23+2*SQRT(POWER((A48*$J$22/$J$21),2)+POWER(A48,2)))</f>
        <v>0</v>
      </c>
      <c r="D48" s="118">
        <f t="shared" si="0"/>
        <v>0</v>
      </c>
      <c r="E48" s="118">
        <f t="shared" si="3"/>
        <v>0</v>
      </c>
      <c r="F48" s="125">
        <f t="shared" si="1"/>
        <v>0</v>
      </c>
      <c r="G48" s="123">
        <f t="shared" si="8"/>
        <v>0</v>
      </c>
      <c r="H48" s="122">
        <f>IF(A48&lt;=0,0,$J$23+2*A48*$J$22/$J$21)</f>
        <v>0</v>
      </c>
      <c r="I48" s="122">
        <f>IF(A48&lt;=0,0,E48/SQRT($B$8*B48/H48))</f>
        <v>0</v>
      </c>
      <c r="J48" s="118">
        <f t="shared" si="2"/>
        <v>0</v>
      </c>
      <c r="K48" s="141">
        <f t="shared" si="4"/>
        <v>0</v>
      </c>
      <c r="L48" s="6"/>
      <c r="M48" s="336"/>
      <c r="N48" s="330">
        <f>IF(B26&lt;=0,0,J21)</f>
        <v>0</v>
      </c>
      <c r="O48" s="210"/>
      <c r="P48" s="8"/>
      <c r="R48" s="8"/>
      <c r="S48" s="8"/>
    </row>
    <row r="49" spans="1:19" ht="21" customHeight="1">
      <c r="A49" s="202">
        <f>IF($B$27&lt;=0,0,$J$21/5+A50)</f>
        <v>0</v>
      </c>
      <c r="B49" s="118">
        <f>IF(A49&lt;=0,0,($J$23+$J$22/$J$21*A49)*A49)</f>
        <v>0</v>
      </c>
      <c r="C49" s="118">
        <f>IF(A49&lt;=0,0,$J$23+2*SQRT(POWER((A49*$J$22/$J$21),2)+POWER(A49,2)))</f>
        <v>0</v>
      </c>
      <c r="D49" s="118">
        <f t="shared" si="0"/>
        <v>0</v>
      </c>
      <c r="E49" s="118">
        <f t="shared" si="3"/>
        <v>0</v>
      </c>
      <c r="F49" s="125">
        <f t="shared" si="1"/>
        <v>0</v>
      </c>
      <c r="G49" s="123">
        <f t="shared" si="8"/>
        <v>0</v>
      </c>
      <c r="H49" s="122">
        <f>IF(A49&lt;=0,0,$J$23+2*A49*$J$22/$J$21)</f>
        <v>0</v>
      </c>
      <c r="I49" s="122">
        <f>IF(A49&lt;=0,0,E49/SQRT($B$8*B49/H49))</f>
        <v>0</v>
      </c>
      <c r="J49" s="118">
        <f t="shared" si="2"/>
        <v>0</v>
      </c>
      <c r="K49" s="141">
        <f t="shared" si="4"/>
        <v>0</v>
      </c>
      <c r="L49" s="6"/>
      <c r="M49" s="336"/>
      <c r="N49" s="330"/>
      <c r="O49" s="219"/>
      <c r="P49" s="8"/>
      <c r="R49" s="8"/>
      <c r="S49" s="8"/>
    </row>
    <row r="50" spans="1:19" ht="21" customHeight="1">
      <c r="A50" s="202">
        <f>IF($B$27&lt;=0,0,$J$21/5+A51)</f>
        <v>0</v>
      </c>
      <c r="B50" s="118">
        <f>IF(A50&lt;=0,0,($J$23+$J$22/$J$21*A50)*A50)</f>
        <v>0</v>
      </c>
      <c r="C50" s="118">
        <f>IF(A50&lt;=0,0,$J$23+2*SQRT(POWER((A50*$J$22/$J$21),2)+POWER(A50,2)))</f>
        <v>0</v>
      </c>
      <c r="D50" s="118">
        <f t="shared" si="0"/>
        <v>0</v>
      </c>
      <c r="E50" s="118">
        <f t="shared" si="3"/>
        <v>0</v>
      </c>
      <c r="F50" s="125">
        <f t="shared" si="1"/>
        <v>0</v>
      </c>
      <c r="G50" s="123">
        <f t="shared" si="8"/>
        <v>0</v>
      </c>
      <c r="H50" s="122">
        <f>IF(A50&lt;=0,0,$J$23+2*A50*$J$22/$J$21)</f>
        <v>0</v>
      </c>
      <c r="I50" s="122">
        <f>IF(A50&lt;=0,0,E50/SQRT($B$8*B50/H50))</f>
        <v>0</v>
      </c>
      <c r="J50" s="118">
        <f t="shared" si="2"/>
        <v>0</v>
      </c>
      <c r="K50" s="141">
        <f t="shared" si="4"/>
        <v>0</v>
      </c>
      <c r="L50" s="6"/>
      <c r="M50" s="336"/>
      <c r="N50" s="330"/>
      <c r="O50" s="210"/>
      <c r="P50" s="8"/>
      <c r="R50" s="8"/>
      <c r="S50" s="8"/>
    </row>
    <row r="51" spans="1:19" ht="21" customHeight="1">
      <c r="A51" s="266">
        <f>IF(B27&lt;=0,0,J21/5)</f>
        <v>0</v>
      </c>
      <c r="B51" s="126">
        <f>IF(A51&lt;=0,0,($J$23+$J$22/$J$21*A51)*A51)</f>
        <v>0</v>
      </c>
      <c r="C51" s="126">
        <f>IF(A51&lt;=0,0,$J$23+2*SQRT(POWER((A51*$J$22/$J$21),2)+POWER(A51,2)))</f>
        <v>0</v>
      </c>
      <c r="D51" s="126">
        <f t="shared" si="0"/>
        <v>0</v>
      </c>
      <c r="E51" s="126">
        <f t="shared" si="3"/>
        <v>0</v>
      </c>
      <c r="F51" s="127">
        <f t="shared" si="1"/>
        <v>0</v>
      </c>
      <c r="G51" s="128">
        <f t="shared" si="8"/>
        <v>0</v>
      </c>
      <c r="H51" s="128">
        <f>IF(A51&lt;=0,0,$J$23+2*A51*$J$22/$J$21)</f>
        <v>0</v>
      </c>
      <c r="I51" s="128">
        <f>IF(A51&lt;=0,0,E51/SQRT($B$8*B51/H51))</f>
        <v>0</v>
      </c>
      <c r="J51" s="126">
        <f t="shared" si="2"/>
        <v>0</v>
      </c>
      <c r="K51" s="131">
        <f t="shared" si="4"/>
        <v>0</v>
      </c>
      <c r="L51" s="46"/>
      <c r="M51" s="336"/>
      <c r="N51" s="158"/>
      <c r="O51" s="210"/>
      <c r="P51" s="8"/>
      <c r="R51" s="8"/>
      <c r="S51" s="8"/>
    </row>
    <row r="52" spans="1:19" ht="15" customHeight="1">
      <c r="A52" s="57"/>
      <c r="B52" s="58"/>
      <c r="C52" s="58"/>
      <c r="D52" s="58"/>
      <c r="E52" s="58"/>
      <c r="F52" s="58"/>
      <c r="G52" s="59"/>
      <c r="H52" s="59"/>
      <c r="I52" s="59"/>
      <c r="J52" s="58"/>
      <c r="K52" s="59">
        <f t="shared" si="4"/>
        <v>0</v>
      </c>
      <c r="L52" s="6"/>
      <c r="M52" s="6"/>
      <c r="N52" s="9"/>
      <c r="O52" s="210"/>
      <c r="P52" s="8"/>
      <c r="Q52" s="8"/>
      <c r="R52" s="8"/>
      <c r="S52" s="8"/>
    </row>
    <row r="53" spans="1:19" ht="21" customHeight="1">
      <c r="A53" s="114" t="s">
        <v>131</v>
      </c>
      <c r="B53" s="60"/>
      <c r="C53" s="60"/>
      <c r="D53" s="60"/>
      <c r="E53" s="60"/>
      <c r="F53" s="60"/>
      <c r="G53" s="11"/>
      <c r="H53" s="11"/>
      <c r="I53" s="59"/>
      <c r="J53" s="58"/>
      <c r="K53" s="59">
        <f t="shared" si="4"/>
        <v>0</v>
      </c>
      <c r="L53" s="6"/>
      <c r="M53" s="6"/>
      <c r="N53" s="9"/>
      <c r="O53" s="210"/>
      <c r="P53" s="8"/>
      <c r="Q53" s="8"/>
      <c r="R53" s="8"/>
      <c r="S53" s="8"/>
    </row>
    <row r="54" spans="1:19" ht="21" customHeight="1">
      <c r="A54" s="313" t="s">
        <v>73</v>
      </c>
      <c r="B54" s="314"/>
      <c r="C54" s="314"/>
      <c r="D54" s="60"/>
      <c r="E54" s="60"/>
      <c r="F54" s="60"/>
      <c r="G54" s="11"/>
      <c r="H54" s="11"/>
      <c r="I54" s="59"/>
      <c r="J54" s="58"/>
      <c r="K54" s="59"/>
      <c r="L54" s="6"/>
      <c r="M54" s="6"/>
      <c r="N54" s="9"/>
      <c r="O54" s="210"/>
      <c r="P54" s="8"/>
      <c r="Q54" s="8"/>
      <c r="R54" s="8"/>
      <c r="S54" s="8"/>
    </row>
    <row r="55" spans="1:19" ht="21" customHeight="1">
      <c r="A55" s="132"/>
      <c r="B55" s="81">
        <f>IF(AND(A55&gt;0,A55&lt;=$A$47),($J$23+$J$22/$J$21*A55)*A55,IF(AND(A55&gt;$A$47,A55&lt;=$A$37),$B$47+(A55-$A$47)*$B$26/1000,IF(AND(A55&gt;$A$37,A55&lt;=$A$34),$B$37+($B$26/1000+$B$26/1000-2*(A55-$A$37)*$J$18/$J$17)/2*(A55-$A$37),0)))</f>
        <v>0</v>
      </c>
      <c r="C55" s="81">
        <f>IF(OR(B26&lt;=0,A55&lt;=0),0,IF(AND(A55&gt;0,A55&lt;=$A$47),$J$23+2*SQRT(POWER((A55*$J$22/$J$21),2)+POWER(A55,2)),IF(AND(A55&gt;$A$47,A55&lt;=$A$37,A55&lt;&gt;B27/1000),(A55-$A$47)*2+$C$47,IF(AND(A55&gt;$A$37,A55&lt;$A$34),$C$37+2*SQRT(POWER($J$18/$J$17*(A55-$A$37),2)+POWER((A55-$A$37),2)),IF(AND(A55=$B$27/1000,A55=$A$34),$B$26/1000-2*$J$17+$C$37+2*SQRT(POWER($J$18/$J$17*(A55-$A$37),2)+POWER((A55-$A$37),2)),IF(AND(A55=$A$37,$J$17&lt;=0,$J$18&lt;=0),(A55-$A$47)*2+$C$47+$B$26/1000))))))</f>
        <v>0</v>
      </c>
      <c r="D55" s="81">
        <f>IF(ISERROR(B55/C55),0,B55/C55)</f>
        <v>0</v>
      </c>
      <c r="E55" s="81">
        <f>IF(ISERROR(-2*LOG(2.51*$B$9/(4*D55*SQRT(8*$B$8*D55*$B$6/1000))+$B$7/(1000*(14.84*D55)))*SQRT(8*$B$8*D55*$B$6/1000)),0,-2*LOG(2.51*$B$9/(4*D55*SQRT(8*$B$8*D55*$B$6/1000))+$B$7/(1000*(14.84*D55)))*SQRT(8*$B$8*D55*$B$6/1000))</f>
        <v>0</v>
      </c>
      <c r="F55" s="82">
        <f>E55*B55</f>
        <v>0</v>
      </c>
      <c r="G55" s="83">
        <f>IF(ISERROR(F55/$F$29),0,F55/$F$29)</f>
        <v>0</v>
      </c>
      <c r="H55" s="83">
        <f>IF(OR(B26&lt;=0,A55&lt;=0),0,IF(AND(A55&gt;0,A55&lt;=$A$47),$J$23+2*A55*$J$22/$J$21,IF(AND(A55&gt;$A$47,A55&lt;=$A$37),$B$26/1000,IF(AND(A55&gt;$A$37,A55&lt;=$A$34),$B$26/1000-2*(A55-$A$37)*$J$18/$J$17))))</f>
        <v>0</v>
      </c>
      <c r="I55" s="83">
        <f>IF(OR(B26&lt;=0,A55&lt;=0),0,E55/SQRT($B$8*B55/H55))</f>
        <v>0</v>
      </c>
      <c r="J55" s="81">
        <f>IF(B55&lt;=0,0,A55+POWER(E55,2)/(2*$B$8))</f>
        <v>0</v>
      </c>
      <c r="K55" s="115">
        <f t="shared" si="4"/>
        <v>0</v>
      </c>
      <c r="L55" s="8"/>
      <c r="M55" s="6"/>
      <c r="N55" s="9"/>
      <c r="O55" s="210"/>
      <c r="P55" s="8"/>
      <c r="Q55" s="45"/>
      <c r="R55" s="8"/>
      <c r="S55" s="8"/>
    </row>
    <row r="56" spans="1:19" ht="21" customHeight="1">
      <c r="A56" s="303" t="s">
        <v>74</v>
      </c>
      <c r="B56" s="304"/>
      <c r="C56" s="304"/>
      <c r="D56" s="304"/>
      <c r="E56" s="58"/>
      <c r="F56" s="133"/>
      <c r="G56" s="59"/>
      <c r="H56" s="59"/>
      <c r="I56" s="59"/>
      <c r="J56" s="58"/>
      <c r="K56" s="59"/>
      <c r="L56" s="7"/>
      <c r="M56" s="6"/>
      <c r="N56" s="9"/>
      <c r="O56" s="8"/>
      <c r="P56" s="8"/>
      <c r="Q56" s="45"/>
      <c r="R56" s="8"/>
      <c r="S56" s="8"/>
    </row>
    <row r="57" spans="1:19" ht="21" customHeight="1">
      <c r="A57" s="132"/>
      <c r="B57" s="283">
        <f>IF(AND(A57&gt;0,A57&lt;=$A$47),($J$23+$J$22/$J$21*A57)*A57,IF(AND(A57&gt;$A$47,A57&lt;=$A$37),$B$47+(A57-$A$47)*$B$26/1000,IF(AND(A57&gt;$A$37,A57&lt;=$A$34),$B$37+($B$26/1000+$B$26/1000-2*(A57-$A$37)*$J$18/$J$17)/2*(A57-$A$37),0)))</f>
        <v>0</v>
      </c>
      <c r="C57" s="283">
        <f>IF(OR(B26&lt;=0,A57&lt;=0),0,IF(AND(A57&gt;0,A57&lt;=$A$47),$J$23+2*SQRT(POWER((A57*$J$22/$J$21),2)+POWER(A57,2)),IF(AND(A57&gt;$A$47,A57&lt;=$A$37,A57&lt;&gt;B27/1000),(A57-$A$47)*2+$C$47,IF(AND(A57&gt;$A$37,A57&lt;$A$34),$C$37+2*SQRT(POWER($J$18/$J$17*(A57-$A$37),2)+POWER((A57-$A$37),2)),IF(AND(A57=$B$27/1000,A57=$A$34),$B$26/1000-2*$J$17+$C$37+2*SQRT(POWER($J$18/$J$17*(A57-$A$37),2)+POWER((A57-$A$37),2)),IF(AND(A57=$A$37,$J$17&lt;=0,$J$18&lt;=0),(A57-$A$47)*2+$C$47+$B$26/1000))))))</f>
        <v>0</v>
      </c>
      <c r="D57" s="283">
        <f>IF(ISERROR(B57/C57),0,B57/C57)</f>
        <v>0</v>
      </c>
      <c r="E57" s="283">
        <f>IF(ISERROR(-2*LOG(2.51*$B$9/(4*D57*SQRT(8*$B$8*D57*$B$6/1000))+$B$7/(1000*(14.84*D57)))*SQRT(8*$B$8*D57*$B$6/1000)),0,-2*LOG(2.51*$B$9/(4*D57*SQRT(8*$B$8*D57*$B$6/1000))+$B$7/(1000*(14.84*D57)))*SQRT(8*$B$8*D57*$B$6/1000))</f>
        <v>0</v>
      </c>
      <c r="F57" s="284">
        <f>E57*B57</f>
        <v>0</v>
      </c>
      <c r="G57" s="285">
        <f>IF(ISERROR(F57/$F$29),0,F57/$F$29)</f>
        <v>0</v>
      </c>
      <c r="H57" s="285">
        <f>IF(OR(B26&lt;=0,A57&lt;=0),0,IF(AND(A57&gt;0,A57&lt;=$A$47),$J$23+2*A57*$J$22/$J$21,IF(AND(A57&gt;$A$47,A57&lt;=$A$37),$B$26/1000,IF(AND(A57&gt;$A$37,A57&lt;=$A$34),$B$26/1000-2*(A57-$A$37)*$J$18/$J$17))))</f>
        <v>0</v>
      </c>
      <c r="I57" s="285">
        <f>IF(OR(B26&lt;=0,A57&lt;=0),0,E57/SQRT($B$8*B57/H57))</f>
        <v>0</v>
      </c>
      <c r="J57" s="284">
        <f>IF(B57&lt;=0,0,A57+POWER(E57,2)/(2*$B$8))</f>
        <v>0</v>
      </c>
      <c r="K57" s="286">
        <f t="shared" si="4"/>
        <v>0</v>
      </c>
      <c r="L57" s="8"/>
      <c r="M57" s="6"/>
      <c r="N57" s="9"/>
      <c r="O57" s="8"/>
      <c r="P57" s="8"/>
      <c r="Q57" s="16"/>
      <c r="R57" s="8"/>
      <c r="S57" s="8"/>
    </row>
    <row r="58" spans="1:19" ht="15" customHeight="1">
      <c r="A58" s="61"/>
      <c r="B58" s="60"/>
      <c r="C58" s="60"/>
      <c r="D58" s="60"/>
      <c r="E58" s="60"/>
      <c r="F58" s="60"/>
      <c r="G58" s="11"/>
      <c r="H58" s="11"/>
      <c r="I58" s="6"/>
      <c r="J58" s="6"/>
      <c r="K58" s="6"/>
      <c r="L58" s="6"/>
      <c r="M58" s="6"/>
      <c r="N58" s="9"/>
      <c r="O58" s="8"/>
      <c r="P58" s="8"/>
      <c r="Q58" s="8"/>
      <c r="R58" s="8"/>
      <c r="S58" s="8"/>
    </row>
    <row r="59" spans="1:19" ht="21" customHeight="1">
      <c r="A59" s="62" t="s">
        <v>50</v>
      </c>
      <c r="B59" s="52">
        <f>IF(J57&lt;J29,J57,0)</f>
        <v>0</v>
      </c>
      <c r="C59" s="16" t="s">
        <v>65</v>
      </c>
      <c r="D59" s="34" t="s">
        <v>51</v>
      </c>
      <c r="E59" s="52">
        <f>IF(J29&gt;J57,J29,0)</f>
        <v>0</v>
      </c>
      <c r="F59" s="6" t="s">
        <v>8</v>
      </c>
      <c r="G59" s="6"/>
      <c r="H59" s="6"/>
      <c r="I59" s="6"/>
      <c r="J59" s="6"/>
      <c r="K59" s="6"/>
      <c r="L59" s="6"/>
      <c r="M59" s="6"/>
      <c r="N59" s="9"/>
      <c r="O59" s="8"/>
      <c r="P59" s="8"/>
      <c r="Q59" s="8"/>
      <c r="R59" s="8"/>
      <c r="S59" s="8"/>
    </row>
    <row r="60" spans="1:19" ht="21" customHeight="1">
      <c r="A60" s="63"/>
      <c r="B60" s="6" t="s">
        <v>52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9"/>
      <c r="O60" s="8"/>
      <c r="P60" s="8"/>
      <c r="Q60" s="8"/>
      <c r="R60" s="8"/>
      <c r="S60" s="8"/>
    </row>
    <row r="61" spans="1:19" ht="15" customHeight="1">
      <c r="A61" s="6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9"/>
      <c r="O61" s="8"/>
      <c r="P61" s="8"/>
      <c r="Q61" s="8"/>
      <c r="R61" s="8"/>
      <c r="S61" s="8"/>
    </row>
    <row r="62" spans="1:19" ht="21" customHeight="1">
      <c r="A62" s="62" t="s">
        <v>50</v>
      </c>
      <c r="B62" s="52">
        <f>IF(J57&gt;=J29,J57,0)</f>
        <v>0</v>
      </c>
      <c r="C62" s="16" t="s">
        <v>66</v>
      </c>
      <c r="D62" s="34" t="s">
        <v>51</v>
      </c>
      <c r="E62" s="52">
        <f>IF(J29&lt;=J57,J29,0)</f>
        <v>0</v>
      </c>
      <c r="F62" s="6" t="s">
        <v>8</v>
      </c>
      <c r="G62" s="6"/>
      <c r="H62" s="6"/>
      <c r="I62" s="6"/>
      <c r="J62" s="6"/>
      <c r="K62" s="6"/>
      <c r="L62" s="6"/>
      <c r="M62" s="6"/>
      <c r="N62" s="9"/>
      <c r="O62" s="8"/>
      <c r="P62" s="8"/>
      <c r="Q62" s="8"/>
      <c r="R62" s="8"/>
      <c r="S62" s="8"/>
    </row>
    <row r="63" spans="1:19" ht="21" customHeight="1">
      <c r="A63" s="63"/>
      <c r="B63" s="6" t="s">
        <v>53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9"/>
      <c r="O63" s="8"/>
      <c r="P63" s="8"/>
      <c r="Q63" s="8"/>
      <c r="R63" s="8"/>
      <c r="S63" s="8"/>
    </row>
    <row r="64" spans="1:19" ht="15" customHeight="1" thickBot="1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6"/>
      <c r="O64" s="8"/>
      <c r="P64" s="8"/>
      <c r="Q64" s="8"/>
      <c r="R64" s="8"/>
      <c r="S64" s="8"/>
    </row>
    <row r="65" spans="1:20" ht="12" customHeight="1">
      <c r="A65" s="149" t="s">
        <v>125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8"/>
      <c r="O65" s="8"/>
      <c r="P65" s="8"/>
      <c r="Q65" s="8"/>
      <c r="R65" s="8"/>
      <c r="S65" s="8"/>
      <c r="T65" s="8"/>
    </row>
    <row r="66" spans="1:20" ht="20.10000000000000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8"/>
      <c r="O66" s="8"/>
      <c r="P66" s="8"/>
      <c r="Q66" s="8"/>
      <c r="R66" s="8"/>
      <c r="S66" s="8"/>
      <c r="T66" s="8"/>
    </row>
    <row r="67" spans="1:2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8"/>
      <c r="O67" s="8"/>
      <c r="P67" s="8"/>
      <c r="Q67" s="8"/>
      <c r="R67" s="8"/>
      <c r="S67" s="8"/>
      <c r="T67" s="8"/>
    </row>
    <row r="68" spans="1:2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8"/>
      <c r="O68" s="8"/>
      <c r="P68" s="8"/>
      <c r="Q68" s="8"/>
      <c r="R68" s="8"/>
      <c r="S68" s="8"/>
      <c r="T68" s="8"/>
    </row>
    <row r="69" spans="1:2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8"/>
      <c r="O69" s="8"/>
      <c r="P69" s="8"/>
      <c r="Q69" s="8"/>
      <c r="R69" s="8"/>
      <c r="S69" s="8"/>
      <c r="T69" s="8"/>
    </row>
    <row r="70" spans="1:20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1:20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1:20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1:20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20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20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1:20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1:20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20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20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20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1:1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1:1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1:1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1:1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1:1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1:1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1:1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1:1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1:1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1:1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1:1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1:1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1:1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1:1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1:1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1:1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1:1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1:1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1:1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1:1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1:1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1:1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1:1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1:1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1:1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</row>
    <row r="123" spans="1:1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</row>
    <row r="124" spans="1:1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</row>
    <row r="125" spans="1:1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</row>
    <row r="126" spans="1:1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</row>
    <row r="127" spans="1:1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1:1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1:1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1:1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</row>
    <row r="131" spans="1:1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</row>
    <row r="132" spans="1:1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</row>
    <row r="133" spans="1:1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</row>
    <row r="134" spans="1:1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</row>
    <row r="135" spans="1:1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</row>
    <row r="136" spans="1:1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1:1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1:1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</row>
    <row r="140" spans="1:1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</row>
    <row r="141" spans="1:1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</row>
    <row r="142" spans="1:1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</row>
    <row r="143" spans="1:1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</row>
    <row r="145" spans="1:1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1:1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1:1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</row>
    <row r="149" spans="1:1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</row>
    <row r="150" spans="1:1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</row>
    <row r="151" spans="1:1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</row>
  </sheetData>
  <sheetProtection password="8FFE" sheet="1"/>
  <mergeCells count="17">
    <mergeCell ref="A54:C54"/>
    <mergeCell ref="A56:D56"/>
    <mergeCell ref="N48:N50"/>
    <mergeCell ref="M47:M51"/>
    <mergeCell ref="M34:M36"/>
    <mergeCell ref="L29:M29"/>
    <mergeCell ref="N34:N36"/>
    <mergeCell ref="N40:N43"/>
    <mergeCell ref="M39:M44"/>
    <mergeCell ref="L32:M32"/>
    <mergeCell ref="A16:F16"/>
    <mergeCell ref="A1:A2"/>
    <mergeCell ref="B1:K1"/>
    <mergeCell ref="B2:K2"/>
    <mergeCell ref="I4:L4"/>
    <mergeCell ref="A4:C4"/>
    <mergeCell ref="L1:N2"/>
  </mergeCells>
  <phoneticPr fontId="0" type="noConversion"/>
  <printOptions horizontalCentered="1" verticalCentered="1"/>
  <pageMargins left="0.78740157480314965" right="0" top="0.19685039370078741" bottom="0" header="0" footer="0"/>
  <pageSetup paperSize="9" scale="6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B8B1-772D-4E07-B00E-A58FD5C1ACFE}">
  <dimension ref="A1:T156"/>
  <sheetViews>
    <sheetView showGridLines="0" showZeros="0" zoomScaleNormal="100" workbookViewId="0">
      <selection activeCell="B5" sqref="B5"/>
    </sheetView>
  </sheetViews>
  <sheetFormatPr baseColWidth="10" defaultRowHeight="12.75"/>
  <cols>
    <col min="1" max="1" width="10.7109375" style="2" customWidth="1"/>
    <col min="2" max="11" width="11.7109375" style="2" customWidth="1"/>
    <col min="12" max="12" width="3.7109375" style="2" customWidth="1"/>
    <col min="13" max="13" width="3.85546875" style="2" customWidth="1"/>
    <col min="14" max="14" width="4.7109375" style="2" customWidth="1"/>
    <col min="15" max="31" width="11.28515625" style="2" customWidth="1"/>
    <col min="32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323"/>
      <c r="M1" s="323"/>
      <c r="N1" s="324"/>
      <c r="O1" s="139"/>
      <c r="P1" s="139"/>
      <c r="Q1" s="139"/>
      <c r="R1" s="139"/>
      <c r="S1" s="101"/>
    </row>
    <row r="2" spans="1:19" ht="30" customHeight="1">
      <c r="A2" s="306"/>
      <c r="B2" s="310" t="s">
        <v>99</v>
      </c>
      <c r="C2" s="311"/>
      <c r="D2" s="311"/>
      <c r="E2" s="311"/>
      <c r="F2" s="311"/>
      <c r="G2" s="311"/>
      <c r="H2" s="311"/>
      <c r="I2" s="311"/>
      <c r="J2" s="311"/>
      <c r="K2" s="312"/>
      <c r="L2" s="325"/>
      <c r="M2" s="325"/>
      <c r="N2" s="326"/>
      <c r="O2" s="140"/>
      <c r="P2" s="140"/>
      <c r="Q2" s="140"/>
      <c r="R2" s="140"/>
      <c r="S2" s="101"/>
    </row>
    <row r="3" spans="1:19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2"/>
      <c r="O3" s="140"/>
      <c r="P3" s="140"/>
      <c r="Q3" s="140"/>
      <c r="R3" s="140"/>
      <c r="S3" s="101"/>
    </row>
    <row r="4" spans="1:19" ht="21" customHeight="1">
      <c r="A4" s="318" t="s">
        <v>59</v>
      </c>
      <c r="B4" s="319"/>
      <c r="C4" s="319"/>
      <c r="D4" s="3"/>
      <c r="E4" s="3"/>
      <c r="F4" s="3"/>
      <c r="G4" s="4"/>
      <c r="H4" s="4"/>
      <c r="I4" s="317"/>
      <c r="J4" s="317"/>
      <c r="K4" s="317"/>
      <c r="L4" s="317"/>
      <c r="M4" s="100"/>
      <c r="N4" s="134"/>
      <c r="O4" s="100"/>
      <c r="P4" s="100"/>
      <c r="Q4" s="100"/>
      <c r="R4" s="3"/>
      <c r="S4" s="8"/>
    </row>
    <row r="5" spans="1:19" ht="21" customHeight="1">
      <c r="A5" s="5" t="s">
        <v>28</v>
      </c>
      <c r="B5" s="148"/>
      <c r="C5" s="6" t="s">
        <v>29</v>
      </c>
      <c r="D5" s="6" t="s">
        <v>67</v>
      </c>
      <c r="E5" s="6"/>
      <c r="F5" s="6"/>
      <c r="G5" s="6"/>
      <c r="H5" s="6"/>
      <c r="I5" s="77"/>
      <c r="J5" s="36"/>
      <c r="K5" s="36"/>
      <c r="L5" s="36"/>
      <c r="M5" s="36"/>
      <c r="N5" s="135"/>
      <c r="O5" s="101"/>
      <c r="P5" s="101"/>
      <c r="Q5" s="101"/>
      <c r="R5" s="8"/>
      <c r="S5" s="8"/>
    </row>
    <row r="6" spans="1:19" ht="21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6"/>
      <c r="H6" s="6"/>
      <c r="I6" s="36"/>
      <c r="J6" s="227"/>
      <c r="K6" s="227"/>
      <c r="L6" s="36"/>
      <c r="M6" s="36"/>
      <c r="N6" s="136"/>
      <c r="O6" s="36"/>
      <c r="P6" s="36"/>
      <c r="Q6" s="36"/>
      <c r="R6" s="8"/>
      <c r="S6" s="8"/>
    </row>
    <row r="7" spans="1:19" ht="21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6"/>
      <c r="H7" s="6"/>
      <c r="I7" s="36"/>
      <c r="J7" s="227"/>
      <c r="K7" s="227"/>
      <c r="L7" s="36"/>
      <c r="M7" s="36"/>
      <c r="N7" s="136"/>
      <c r="O7" s="36"/>
      <c r="P7" s="36"/>
      <c r="Q7" s="36"/>
      <c r="R7" s="8"/>
      <c r="S7" s="8"/>
    </row>
    <row r="8" spans="1:19" ht="20.100000000000001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6"/>
      <c r="H8" s="6"/>
      <c r="I8" s="103"/>
      <c r="J8" s="38"/>
      <c r="K8" s="38"/>
      <c r="L8" s="36"/>
      <c r="M8" s="36"/>
      <c r="N8" s="136"/>
      <c r="O8" s="36"/>
      <c r="P8" s="36"/>
      <c r="Q8" s="36"/>
      <c r="R8" s="8"/>
      <c r="S8" s="8"/>
    </row>
    <row r="9" spans="1:19" ht="20.100000000000001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6"/>
      <c r="H9" s="6"/>
      <c r="I9" s="104"/>
      <c r="J9" s="227"/>
      <c r="K9" s="227"/>
      <c r="L9" s="6"/>
      <c r="M9" s="6"/>
      <c r="N9" s="137"/>
      <c r="O9" s="6"/>
      <c r="P9" s="6"/>
      <c r="Q9" s="6"/>
      <c r="R9" s="8"/>
      <c r="S9" s="8"/>
    </row>
    <row r="10" spans="1:19" ht="15" customHeight="1">
      <c r="A10" s="5"/>
      <c r="B10" s="12"/>
      <c r="C10" s="13"/>
      <c r="D10" s="6"/>
      <c r="E10" s="6"/>
      <c r="F10" s="6"/>
      <c r="G10" s="6"/>
      <c r="H10" s="6"/>
      <c r="I10" s="104"/>
      <c r="J10" s="227"/>
      <c r="K10" s="227"/>
      <c r="L10" s="6"/>
      <c r="M10" s="6"/>
      <c r="N10" s="137"/>
      <c r="O10" s="6"/>
      <c r="P10" s="6"/>
      <c r="Q10" s="6"/>
      <c r="R10" s="8"/>
      <c r="S10" s="8"/>
    </row>
    <row r="11" spans="1:19" ht="21" customHeight="1">
      <c r="A11" s="39" t="s">
        <v>9</v>
      </c>
      <c r="B11" s="12"/>
      <c r="C11" s="13"/>
      <c r="D11" s="6"/>
      <c r="E11" s="6"/>
      <c r="F11" s="6"/>
      <c r="G11" s="6"/>
      <c r="H11" s="6"/>
      <c r="I11" s="104"/>
      <c r="J11" s="227"/>
      <c r="K11" s="227"/>
      <c r="L11" s="6"/>
      <c r="M11" s="6"/>
      <c r="N11" s="137"/>
      <c r="O11" s="6"/>
      <c r="P11" s="6"/>
      <c r="Q11" s="6"/>
      <c r="R11" s="8"/>
      <c r="S11" s="8"/>
    </row>
    <row r="12" spans="1:19" ht="21" customHeight="1">
      <c r="A12" s="39" t="s">
        <v>93</v>
      </c>
      <c r="B12" s="12"/>
      <c r="C12" s="13"/>
      <c r="D12" s="6"/>
      <c r="E12" s="6"/>
      <c r="F12" s="6"/>
      <c r="G12" s="6"/>
      <c r="H12" s="6"/>
      <c r="I12" s="104"/>
      <c r="J12" s="227"/>
      <c r="K12" s="227"/>
      <c r="L12" s="6"/>
      <c r="M12" s="6"/>
      <c r="N12" s="137"/>
      <c r="O12" s="6"/>
      <c r="P12" s="6"/>
      <c r="Q12" s="6"/>
      <c r="R12" s="8"/>
      <c r="S12" s="8"/>
    </row>
    <row r="13" spans="1:19" ht="21" customHeight="1">
      <c r="A13" s="63" t="s">
        <v>95</v>
      </c>
      <c r="B13" s="12"/>
      <c r="C13" s="112" t="s">
        <v>64</v>
      </c>
      <c r="D13" s="199"/>
      <c r="E13" s="6" t="s">
        <v>8</v>
      </c>
      <c r="F13" s="6"/>
      <c r="G13" s="6"/>
      <c r="H13" s="6"/>
      <c r="I13" s="98"/>
      <c r="J13" s="155"/>
      <c r="K13" s="155"/>
      <c r="L13" s="155"/>
      <c r="M13" s="155"/>
      <c r="N13" s="9"/>
      <c r="O13" s="3"/>
      <c r="P13" s="6"/>
      <c r="Q13" s="6"/>
      <c r="R13" s="8"/>
      <c r="S13" s="8"/>
    </row>
    <row r="14" spans="1:19" ht="18" customHeight="1">
      <c r="A14" s="63"/>
      <c r="B14" s="12"/>
      <c r="C14" s="13"/>
      <c r="D14" s="6"/>
      <c r="E14" s="6"/>
      <c r="F14" s="6"/>
      <c r="G14" s="6"/>
      <c r="H14" s="6"/>
      <c r="I14" s="98" t="s">
        <v>58</v>
      </c>
      <c r="J14" s="98"/>
      <c r="K14" s="98"/>
      <c r="L14" s="98"/>
      <c r="M14" s="98"/>
      <c r="N14" s="157"/>
      <c r="O14" s="3"/>
      <c r="P14" s="6"/>
      <c r="Q14" s="6"/>
      <c r="R14" s="8"/>
      <c r="S14" s="8"/>
    </row>
    <row r="15" spans="1:19" ht="21" customHeight="1">
      <c r="A15" s="315" t="s">
        <v>71</v>
      </c>
      <c r="B15" s="316"/>
      <c r="C15" s="316"/>
      <c r="D15" s="316"/>
      <c r="E15" s="316"/>
      <c r="F15" s="316"/>
      <c r="G15" s="6"/>
      <c r="H15" s="6"/>
      <c r="I15" s="7" t="s">
        <v>11</v>
      </c>
      <c r="J15" s="8"/>
      <c r="K15" s="8"/>
      <c r="L15" s="6"/>
      <c r="M15" s="6"/>
      <c r="N15" s="137"/>
      <c r="O15" s="6"/>
      <c r="P15" s="6"/>
      <c r="Q15" s="6"/>
      <c r="R15" s="8"/>
      <c r="S15" s="8"/>
    </row>
    <row r="16" spans="1:19" ht="21" customHeight="1">
      <c r="A16" s="15" t="s">
        <v>41</v>
      </c>
      <c r="B16" s="16"/>
      <c r="C16" s="16"/>
      <c r="D16" s="16"/>
      <c r="E16" s="16"/>
      <c r="F16" s="16"/>
      <c r="G16" s="6"/>
      <c r="H16" s="6"/>
      <c r="I16" s="14" t="s">
        <v>60</v>
      </c>
      <c r="J16" s="209">
        <f>IF(AND(A20&lt;=0,B25&lt;=0),0,0.2)</f>
        <v>0</v>
      </c>
      <c r="K16" s="156" t="s">
        <v>8</v>
      </c>
      <c r="L16" s="6"/>
      <c r="M16" s="6"/>
      <c r="N16" s="198"/>
      <c r="O16" s="6"/>
      <c r="P16" s="8"/>
      <c r="Q16" s="8"/>
      <c r="R16" s="8"/>
      <c r="S16" s="8"/>
    </row>
    <row r="17" spans="1:19" ht="21" customHeight="1">
      <c r="A17" s="15" t="s">
        <v>2</v>
      </c>
      <c r="B17" s="16"/>
      <c r="C17" s="16"/>
      <c r="D17" s="16"/>
      <c r="E17" s="6"/>
      <c r="F17" s="6"/>
      <c r="G17" s="6"/>
      <c r="H17" s="6"/>
      <c r="I17" s="14" t="s">
        <v>12</v>
      </c>
      <c r="J17" s="209">
        <f>IF(J16&lt;=0,0,0.2)</f>
        <v>0</v>
      </c>
      <c r="K17" s="156" t="s">
        <v>8</v>
      </c>
      <c r="L17" s="6"/>
      <c r="M17" s="6"/>
      <c r="N17" s="198"/>
      <c r="O17" s="6"/>
      <c r="P17" s="6"/>
      <c r="Q17" s="8"/>
      <c r="R17" s="8"/>
      <c r="S17" s="8"/>
    </row>
    <row r="18" spans="1:19" ht="21" customHeight="1">
      <c r="A18" s="17" t="s">
        <v>3</v>
      </c>
      <c r="B18" s="18" t="s">
        <v>4</v>
      </c>
      <c r="C18" s="19" t="s">
        <v>5</v>
      </c>
      <c r="D18" s="19" t="s">
        <v>6</v>
      </c>
      <c r="E18" s="19" t="s">
        <v>7</v>
      </c>
      <c r="F18" s="20" t="s">
        <v>35</v>
      </c>
      <c r="G18" s="6"/>
      <c r="H18" s="6"/>
      <c r="I18" s="8"/>
      <c r="J18" s="8"/>
      <c r="K18" s="8"/>
      <c r="L18" s="6"/>
      <c r="M18" s="38"/>
      <c r="N18" s="135"/>
      <c r="O18" s="6"/>
      <c r="P18" s="6"/>
      <c r="Q18" s="8"/>
      <c r="R18" s="8"/>
      <c r="S18" s="8"/>
    </row>
    <row r="19" spans="1:19" ht="21" customHeight="1">
      <c r="A19" s="21" t="s">
        <v>0</v>
      </c>
      <c r="B19" s="22" t="s">
        <v>0</v>
      </c>
      <c r="C19" s="22" t="s">
        <v>36</v>
      </c>
      <c r="D19" s="23" t="s">
        <v>8</v>
      </c>
      <c r="E19" s="23" t="s">
        <v>8</v>
      </c>
      <c r="F19" s="24" t="s">
        <v>36</v>
      </c>
      <c r="G19" s="6"/>
      <c r="H19" s="6"/>
      <c r="I19" s="97" t="s">
        <v>56</v>
      </c>
      <c r="J19" s="8"/>
      <c r="K19" s="156"/>
      <c r="L19" s="6"/>
      <c r="M19" s="6"/>
      <c r="N19" s="198"/>
      <c r="O19" s="6"/>
      <c r="P19" s="8"/>
      <c r="Q19" s="8"/>
      <c r="R19" s="8"/>
      <c r="S19" s="8"/>
    </row>
    <row r="20" spans="1:19" ht="21" customHeight="1">
      <c r="A20" s="68"/>
      <c r="B20" s="69"/>
      <c r="C20" s="220">
        <f>IF(OR(A20&lt;=0,B20&lt;=0),0,A20/2000*$D$13+(B20/1000-$D$13-$J$17)*A20/1000+(A20/1000-2*$J$16)*$J$17)</f>
        <v>0</v>
      </c>
      <c r="D20" s="26">
        <f>IF(OR(A20&lt;=0,B20&lt;=0),0,2*SQRT(POWER(A20/2000,2)+POWER($D$13,2))+2*(B20/1000-$D$13-$J$17)+2*SQRT(POWER($J$16,2)+POWER($J$17,2))+A20/1000-2*$J$16)</f>
        <v>0</v>
      </c>
      <c r="E20" s="26">
        <f>IF(ISERROR(C20/D20),0,C20/D20)</f>
        <v>0</v>
      </c>
      <c r="F20" s="221">
        <f>IF(ISERROR($B$5/(-2*LOG(2.51*$B$9/(4*E20*SQRT(8*$B$8*E20*$B$6/1000))+$B$7/(1000*(14.84*E20)))*SQRT(8*$B$8*E20*$B$6/1000))),0,$B$5/(-2*LOG(2.51*$B$9/(4*E20*SQRT(8*$B$8*E20*$B$6/1000))+$B$7/(1000*(14.84*E20)))*SQRT(8*$B$8*E20*$B$6/1000)))</f>
        <v>0</v>
      </c>
      <c r="G20" s="296">
        <f>IF(B20&lt;=0,0,IF(B20/1000&lt;($J$17+D13),"HN erhöhen",0))</f>
        <v>0</v>
      </c>
      <c r="H20" s="6"/>
      <c r="I20" s="14" t="s">
        <v>64</v>
      </c>
      <c r="J20" s="52">
        <f>IF(B25&lt;=0,0,D13)</f>
        <v>0</v>
      </c>
      <c r="K20" s="156" t="s">
        <v>8</v>
      </c>
      <c r="L20" s="6"/>
      <c r="M20" s="6"/>
      <c r="N20" s="198"/>
      <c r="O20" s="6"/>
      <c r="P20" s="6"/>
      <c r="Q20" s="8"/>
      <c r="R20" s="8"/>
      <c r="S20" s="8"/>
    </row>
    <row r="21" spans="1:19" ht="21" customHeight="1">
      <c r="A21" s="270"/>
      <c r="B21" s="271"/>
      <c r="C21" s="260">
        <f>IF(OR(A21&lt;=0,B21&lt;=0),0,A21/2000*$D$13+(B21/1000-$D$13-$J$17)*A21/1000+(A21/1000+(A21/1000-2*$J$16))/2*$J$17)</f>
        <v>0</v>
      </c>
      <c r="D21" s="28">
        <f>IF(OR(A21&lt;=0,B21&lt;=0),0,2*SQRT(POWER(A21/2000,2)+POWER($D$13,2))+2*(B21/1000-$D$13-$J$17)+2*SQRT(POWER($J$16,2)+POWER($J$17,2))+A21/1000-2*$J$16)</f>
        <v>0</v>
      </c>
      <c r="E21" s="28">
        <f>IF(ISERROR(C21/D21),0,C21/D21)</f>
        <v>0</v>
      </c>
      <c r="F21" s="261">
        <f>IF(ISERROR($B$5/(-2*LOG(2.51*$B$9/(4*E21*SQRT(8*$B$8*E21*$B$6/1000))+$B$7/(1000*(14.84*E21)))*SQRT(8*$B$8*E21*$B$6/1000))),0,$B$5/(-2*LOG(2.51*$B$9/(4*E21*SQRT(8*$B$8*E21*$B$6/1000))+$B$7/(1000*(14.84*E21)))*SQRT(8*$B$8*E21*$B$6/1000)))</f>
        <v>0</v>
      </c>
      <c r="G21" s="296">
        <f>IF(B21&lt;=0,0,IF(B21/1000&lt;($J$17+D13),"HN erhöhen",0))</f>
        <v>0</v>
      </c>
      <c r="H21" s="6"/>
      <c r="I21" s="14" t="s">
        <v>63</v>
      </c>
      <c r="J21" s="52">
        <f>IF(B25&lt;=0,0,B25/2000)</f>
        <v>0</v>
      </c>
      <c r="K21" s="156" t="s">
        <v>8</v>
      </c>
      <c r="L21" s="6"/>
      <c r="M21" s="159"/>
      <c r="N21" s="162"/>
      <c r="O21" s="6"/>
      <c r="P21" s="6"/>
      <c r="Q21" s="8"/>
      <c r="R21" s="8"/>
      <c r="S21" s="8"/>
    </row>
    <row r="22" spans="1:19" ht="18" customHeight="1">
      <c r="A22" s="29"/>
      <c r="B22" s="30"/>
      <c r="C22" s="31"/>
      <c r="D22" s="31"/>
      <c r="E22" s="31"/>
      <c r="F22" s="31"/>
      <c r="G22" s="6"/>
      <c r="H22" s="6"/>
      <c r="I22" s="14"/>
      <c r="J22" s="8"/>
      <c r="K22" s="217"/>
      <c r="L22" s="6"/>
      <c r="M22" s="6"/>
      <c r="N22" s="137"/>
      <c r="O22" s="6"/>
      <c r="P22" s="6"/>
      <c r="Q22" s="8"/>
      <c r="R22" s="8"/>
      <c r="S22" s="8"/>
    </row>
    <row r="23" spans="1:19" ht="20.100000000000001" customHeight="1">
      <c r="A23" s="32" t="s">
        <v>9</v>
      </c>
      <c r="B23" s="16"/>
      <c r="C23" s="16"/>
      <c r="D23" s="16"/>
      <c r="E23" s="6"/>
      <c r="F23" s="6"/>
      <c r="G23" s="6"/>
      <c r="H23" s="6"/>
      <c r="I23" s="13" t="s">
        <v>97</v>
      </c>
      <c r="J23" s="8"/>
      <c r="K23" s="6"/>
      <c r="L23" s="6"/>
      <c r="M23" s="4"/>
      <c r="N23" s="163"/>
      <c r="O23" s="6"/>
      <c r="P23" s="6"/>
      <c r="Q23" s="8"/>
      <c r="R23" s="8"/>
      <c r="S23" s="8"/>
    </row>
    <row r="24" spans="1:19" ht="21" customHeight="1">
      <c r="A24" s="32" t="s">
        <v>10</v>
      </c>
      <c r="B24" s="16"/>
      <c r="C24" s="16"/>
      <c r="D24" s="16"/>
      <c r="E24" s="7" t="s">
        <v>106</v>
      </c>
      <c r="F24" s="6"/>
      <c r="G24" s="6"/>
      <c r="H24" s="6"/>
      <c r="I24" s="70" t="s">
        <v>80</v>
      </c>
      <c r="J24" s="52">
        <f>IF(OR(B25&lt;=0,D13&lt;=0),0,J21/J20)</f>
        <v>0</v>
      </c>
      <c r="K24" s="4">
        <f>IF(ISERROR(K22/K21),0,K22/K21)</f>
        <v>0</v>
      </c>
      <c r="L24" s="8"/>
      <c r="M24" s="6"/>
      <c r="N24" s="9"/>
      <c r="O24" s="8"/>
      <c r="P24" s="8"/>
      <c r="Q24" s="8"/>
      <c r="R24" s="8"/>
      <c r="S24" s="8"/>
    </row>
    <row r="25" spans="1:19" ht="21" customHeight="1">
      <c r="A25" s="5" t="s">
        <v>3</v>
      </c>
      <c r="B25" s="236">
        <f>A21</f>
        <v>0</v>
      </c>
      <c r="C25" s="6" t="s">
        <v>0</v>
      </c>
      <c r="D25" s="33"/>
      <c r="E25" s="34" t="s">
        <v>54</v>
      </c>
      <c r="F25" s="52">
        <f>IF(B25&lt;=0,0,B25/2000*$D$13+(B26/1000-$D$13-$J$17)*B25/1000+(B25/1000+(B25/1000-2*$J$16))/2*$J$17)</f>
        <v>0</v>
      </c>
      <c r="G25" s="6" t="s">
        <v>36</v>
      </c>
      <c r="H25" s="6"/>
      <c r="I25" s="34"/>
      <c r="J25" s="8"/>
      <c r="K25" s="160"/>
      <c r="L25" s="78"/>
      <c r="M25" s="78"/>
      <c r="N25" s="164"/>
      <c r="O25" s="78"/>
      <c r="P25" s="78"/>
      <c r="Q25" s="8"/>
      <c r="R25" s="8"/>
      <c r="S25" s="8"/>
    </row>
    <row r="26" spans="1:19" ht="21" customHeight="1">
      <c r="A26" s="5" t="s">
        <v>4</v>
      </c>
      <c r="B26" s="236">
        <f>B21</f>
        <v>0</v>
      </c>
      <c r="C26" s="6" t="s">
        <v>0</v>
      </c>
      <c r="D26" s="6"/>
      <c r="E26" s="35" t="s">
        <v>62</v>
      </c>
      <c r="F26" s="237">
        <f>IF(B25&lt;=0,0,2*SQRT(POWER(B25/2000,2)+POWER($D$13,2))+2*(B26/1000-$D$13-$J$17)+2*SQRT(POWER($J$16,2)+POWER($J$17,2))+B25/1000-2*$J$16)</f>
        <v>0</v>
      </c>
      <c r="G26" s="36" t="s">
        <v>8</v>
      </c>
      <c r="H26" s="36"/>
      <c r="I26" s="34"/>
      <c r="J26" s="8"/>
      <c r="K26" s="161"/>
      <c r="L26" s="6"/>
      <c r="M26" s="6"/>
      <c r="N26" s="165"/>
      <c r="O26" s="6"/>
      <c r="P26" s="6"/>
      <c r="Q26" s="8"/>
      <c r="R26" s="8"/>
      <c r="S26" s="8"/>
    </row>
    <row r="27" spans="1:19" ht="21" customHeight="1">
      <c r="A27" s="5"/>
      <c r="B27" s="37"/>
      <c r="C27" s="6"/>
      <c r="D27" s="6"/>
      <c r="E27" s="200" t="s">
        <v>109</v>
      </c>
      <c r="F27" s="289">
        <f>IF(OR(B6&lt;=0,B25&lt;=0),0,-2*LOG(2.51*$B$9/(4*F25/F26*SQRT(8*$B$8*F25/F26*$B$6/1000))+$B$7/(1000*(14.84*F25/F26)))*SQRT(8*$B$8*F25/F26*$B$6/1000))</f>
        <v>0</v>
      </c>
      <c r="G27" s="78" t="s">
        <v>15</v>
      </c>
      <c r="H27" s="78"/>
      <c r="I27" s="14" t="s">
        <v>84</v>
      </c>
      <c r="J27" s="8"/>
      <c r="K27" s="8"/>
      <c r="L27" s="154"/>
      <c r="M27" s="6"/>
      <c r="N27" s="9"/>
      <c r="O27" s="8"/>
      <c r="P27" s="8"/>
      <c r="Q27" s="8"/>
      <c r="R27" s="8"/>
      <c r="S27" s="8"/>
    </row>
    <row r="28" spans="1:19" ht="21" customHeight="1">
      <c r="A28" s="5"/>
      <c r="B28" s="37"/>
      <c r="C28" s="6"/>
      <c r="D28" s="6"/>
      <c r="E28" s="200" t="s">
        <v>107</v>
      </c>
      <c r="F28" s="290">
        <f>F27*F25</f>
        <v>0</v>
      </c>
      <c r="G28" s="6" t="s">
        <v>29</v>
      </c>
      <c r="H28" s="6"/>
      <c r="I28" s="14" t="s">
        <v>85</v>
      </c>
      <c r="J28" s="52">
        <f>IF(B25&lt;=0,0,B26/1000+POWER(F27,2)/2/B8)</f>
        <v>0</v>
      </c>
      <c r="K28" s="16" t="s">
        <v>8</v>
      </c>
      <c r="L28" s="337"/>
      <c r="M28" s="337"/>
      <c r="N28" s="165"/>
      <c r="O28" s="16"/>
      <c r="P28" s="8"/>
      <c r="Q28" s="8"/>
      <c r="R28" s="8"/>
      <c r="S28" s="8"/>
    </row>
    <row r="29" spans="1:19" ht="21" customHeight="1">
      <c r="A29" s="39" t="s">
        <v>49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  <c r="O29" s="8"/>
      <c r="P29" s="8"/>
      <c r="Q29" s="8"/>
      <c r="R29" s="8"/>
      <c r="S29" s="8"/>
    </row>
    <row r="30" spans="1:19" ht="45" customHeight="1">
      <c r="A30" s="40" t="s">
        <v>16</v>
      </c>
      <c r="B30" s="19" t="s">
        <v>17</v>
      </c>
      <c r="C30" s="19" t="s">
        <v>18</v>
      </c>
      <c r="D30" s="19" t="s">
        <v>19</v>
      </c>
      <c r="E30" s="19" t="s">
        <v>20</v>
      </c>
      <c r="F30" s="18" t="s">
        <v>21</v>
      </c>
      <c r="G30" s="19" t="s">
        <v>22</v>
      </c>
      <c r="H30" s="19" t="s">
        <v>90</v>
      </c>
      <c r="I30" s="18" t="s">
        <v>23</v>
      </c>
      <c r="J30" s="19" t="s">
        <v>24</v>
      </c>
      <c r="K30" s="20" t="s">
        <v>83</v>
      </c>
      <c r="L30" s="6"/>
      <c r="M30" s="6"/>
      <c r="N30" s="9"/>
      <c r="O30" s="8"/>
      <c r="P30" s="8"/>
      <c r="Q30" s="8"/>
      <c r="R30" s="8"/>
      <c r="S30" s="8"/>
    </row>
    <row r="31" spans="1:19" ht="21" customHeight="1">
      <c r="A31" s="41" t="s">
        <v>61</v>
      </c>
      <c r="B31" s="42" t="s">
        <v>5</v>
      </c>
      <c r="C31" s="42" t="s">
        <v>37</v>
      </c>
      <c r="D31" s="42" t="s">
        <v>38</v>
      </c>
      <c r="E31" s="42" t="s">
        <v>25</v>
      </c>
      <c r="F31" s="43" t="s">
        <v>72</v>
      </c>
      <c r="G31" s="42" t="s">
        <v>39</v>
      </c>
      <c r="H31" s="42" t="s">
        <v>91</v>
      </c>
      <c r="I31" s="43" t="s">
        <v>26</v>
      </c>
      <c r="J31" s="43" t="s">
        <v>40</v>
      </c>
      <c r="K31" s="108" t="s">
        <v>87</v>
      </c>
      <c r="L31" s="321" t="s">
        <v>76</v>
      </c>
      <c r="M31" s="322"/>
      <c r="N31" s="9"/>
      <c r="O31" s="8"/>
      <c r="P31" s="8"/>
      <c r="Q31" s="8"/>
      <c r="R31" s="8"/>
      <c r="S31" s="8"/>
    </row>
    <row r="32" spans="1:19" ht="21" customHeight="1">
      <c r="A32" s="21" t="s">
        <v>8</v>
      </c>
      <c r="B32" s="22" t="s">
        <v>36</v>
      </c>
      <c r="C32" s="22" t="s">
        <v>8</v>
      </c>
      <c r="D32" s="22" t="s">
        <v>8</v>
      </c>
      <c r="E32" s="22" t="s">
        <v>15</v>
      </c>
      <c r="F32" s="22" t="s">
        <v>29</v>
      </c>
      <c r="G32" s="22" t="s">
        <v>27</v>
      </c>
      <c r="H32" s="22" t="s">
        <v>8</v>
      </c>
      <c r="I32" s="22" t="s">
        <v>27</v>
      </c>
      <c r="J32" s="22" t="s">
        <v>8</v>
      </c>
      <c r="K32" s="107" t="s">
        <v>86</v>
      </c>
      <c r="L32" s="46"/>
      <c r="M32" s="6"/>
      <c r="N32" s="9"/>
      <c r="O32" s="8"/>
      <c r="P32" s="8"/>
      <c r="Q32" s="8"/>
      <c r="R32" s="8"/>
      <c r="S32" s="8"/>
    </row>
    <row r="33" spans="1:19" ht="21" customHeight="1">
      <c r="A33" s="203">
        <f>IF($B$26&lt;=0,0,A34+$J$17/3)</f>
        <v>0</v>
      </c>
      <c r="B33" s="120">
        <f>IF(OR(J16&lt;=0,J17&lt;=0),0,($B$25/1000+$B$25/1000-(2*(A33-$A$36)*$J$17/$J$16))/2*(A33-$A$36)+$B$36)</f>
        <v>0</v>
      </c>
      <c r="C33" s="120">
        <f>IF(A33&lt;=0,0,IF(AND(J16&lt;=0,J17&lt;=0),0,IF(A33=B26/1000,2*SQRT(POWER((A33-$A$36),2)+POWER((A33-$A$36)*$J$17/$J$16,2))+$C$36+B25/1000-2*J16,2*SQRT(POWER((A33-$A$36),2)+POWER((A33-$A$36)*$J$17/$J$16,2))+$C$36)))</f>
        <v>0</v>
      </c>
      <c r="D33" s="120">
        <f t="shared" ref="D33:D50" si="0">IF(ISERROR(B33/C33),0,B33/C33)</f>
        <v>0</v>
      </c>
      <c r="E33" s="120">
        <f t="shared" ref="E33:E50" si="1">IF(ISERROR(IF(A33&lt;=0,0,-2*LOG(2.51*$B$9/(4*D33*SQRT(8*$B$8*D33*$B$6/1000))+$B$7/(1000*(14.84*D33)))*SQRT(8*$B$8*D33*$B$6/1000))),0,IF(A33&lt;=0,0,-2*LOG(2.51*$B$9/(4*D33*SQRT(8*$B$8*D33*$B$6/1000))+$B$7/(1000*(14.84*D33)))*SQRT(8*$B$8*D33*$B$6/1000)))</f>
        <v>0</v>
      </c>
      <c r="F33" s="129">
        <f t="shared" ref="F33:F50" si="2">E33*B33</f>
        <v>0</v>
      </c>
      <c r="G33" s="130">
        <f>IF(ISERROR(F33/$F$28),0,F33/$F$28)</f>
        <v>0</v>
      </c>
      <c r="H33" s="123">
        <f>IF(AND(J16&lt;=0,J17&lt;=0),0,$B$25/1000-2*(A33-$A$36)*$J$17/$J$16)</f>
        <v>0</v>
      </c>
      <c r="I33" s="130">
        <f>IF(A33&lt;=0,0,E33/SQRT($B$8*A33/H33))</f>
        <v>0</v>
      </c>
      <c r="J33" s="119">
        <f t="shared" ref="J33:J50" si="3">A33+POWER(E33,2)/(2*$B$8)</f>
        <v>0</v>
      </c>
      <c r="K33" s="124">
        <f t="shared" ref="K33:K52" si="4">9.81*$B$6*D33</f>
        <v>0</v>
      </c>
      <c r="L33" s="6"/>
      <c r="M33" s="333">
        <f>IF(AND(J16&lt;=0,J17&lt;=0),0,"Voute")</f>
        <v>0</v>
      </c>
      <c r="N33" s="338">
        <f>IF(AND(J16&lt;=0,J17&lt;=0),0,J17)</f>
        <v>0</v>
      </c>
      <c r="O33" s="8"/>
      <c r="P33" s="8"/>
      <c r="Q33" s="8"/>
      <c r="R33" s="8"/>
      <c r="S33" s="8"/>
    </row>
    <row r="34" spans="1:19" ht="21" customHeight="1">
      <c r="A34" s="202">
        <f>IF($B$26&lt;=0,0,A35+$J$17/3)</f>
        <v>0</v>
      </c>
      <c r="B34" s="118">
        <f>IF(OR(J16&lt;=0,J17&lt;=0),0,($B$25/1000+$B$25/1000-(2*(A34-$A$36)*$J$17/$J$16))/2*(A34-$A$36)+$B$36)</f>
        <v>0</v>
      </c>
      <c r="C34" s="118">
        <f>IF(AND(J16&lt;=0,J17&lt;=0),0,2*SQRT(POWER((A34-$A$36),2)+POWER((A34-$A$36)*$J$17/$J$16,2))+$C$36)</f>
        <v>0</v>
      </c>
      <c r="D34" s="118">
        <f t="shared" si="0"/>
        <v>0</v>
      </c>
      <c r="E34" s="118">
        <f t="shared" si="1"/>
        <v>0</v>
      </c>
      <c r="F34" s="125">
        <f t="shared" si="2"/>
        <v>0</v>
      </c>
      <c r="G34" s="123">
        <f t="shared" ref="G34:G50" si="5">IF(ISERROR(F34/$F$28),0,F34/$F$28)</f>
        <v>0</v>
      </c>
      <c r="H34" s="123">
        <f>IF(AND(J16&lt;=0,J17&lt;=0),0,$B$25/1000-2*(A34-$A$36)*$J$17/$J$16)</f>
        <v>0</v>
      </c>
      <c r="I34" s="122">
        <f>IF(A34&lt;=0,0,E34/SQRT($B$8*A34/H34))</f>
        <v>0</v>
      </c>
      <c r="J34" s="118">
        <f t="shared" si="3"/>
        <v>0</v>
      </c>
      <c r="K34" s="141">
        <f t="shared" si="4"/>
        <v>0</v>
      </c>
      <c r="L34" s="6"/>
      <c r="M34" s="333"/>
      <c r="N34" s="338"/>
      <c r="O34" s="8"/>
      <c r="P34" s="8"/>
      <c r="Q34" s="8"/>
      <c r="R34" s="8"/>
      <c r="S34" s="8"/>
    </row>
    <row r="35" spans="1:19" ht="21" customHeight="1">
      <c r="A35" s="266">
        <f>IF(B26&lt;=0,0,IF(AND(J16&lt;=0,J17&lt;=0),0,A36+$J$17/3))</f>
        <v>0</v>
      </c>
      <c r="B35" s="126">
        <f>IF(OR(J16&lt;=0,J17&lt;=0),0,($B$25/1000+$B$25/1000-(2*(A35-$A$36)*$J$17/$J$16))/2*(A35-$A$36)+$B$36)</f>
        <v>0</v>
      </c>
      <c r="C35" s="126">
        <f>IF(AND(J16&lt;=0,J17&lt;=0),0,2*SQRT(POWER((A35-$A$36),2)+POWER((A35-$A$36)*$J$17/$J$16,2))+$C$36)</f>
        <v>0</v>
      </c>
      <c r="D35" s="126">
        <f t="shared" si="0"/>
        <v>0</v>
      </c>
      <c r="E35" s="126">
        <f t="shared" si="1"/>
        <v>0</v>
      </c>
      <c r="F35" s="127">
        <f t="shared" si="2"/>
        <v>0</v>
      </c>
      <c r="G35" s="128">
        <f t="shared" si="5"/>
        <v>0</v>
      </c>
      <c r="H35" s="128">
        <f>IF(AND(J16&lt;=0,J17&lt;=0),0,$B$25/1000-2*(A35-$A$36)*$J$17/$J$16)</f>
        <v>0</v>
      </c>
      <c r="I35" s="228">
        <f>IF(A35&lt;=0,0,E35/SQRT($B$8*A35/H35))</f>
        <v>0</v>
      </c>
      <c r="J35" s="126">
        <f t="shared" si="3"/>
        <v>0</v>
      </c>
      <c r="K35" s="131">
        <f t="shared" si="4"/>
        <v>0</v>
      </c>
      <c r="L35" s="53"/>
      <c r="M35" s="333"/>
      <c r="N35" s="338"/>
      <c r="O35" s="8"/>
      <c r="P35" s="8"/>
      <c r="Q35" s="8"/>
      <c r="R35" s="8"/>
      <c r="S35" s="8"/>
    </row>
    <row r="36" spans="1:19" ht="21" customHeight="1">
      <c r="A36" s="268">
        <f t="shared" ref="A36:A43" si="6">IF(OR($B$25&lt;=0,$B$26&lt;=0),0,($B$26/1000-$J$17-$J$20)/10+A37)</f>
        <v>0</v>
      </c>
      <c r="B36" s="47">
        <f t="shared" ref="B36:B44" si="7">IF(A36&lt;=0,0,$B$46+(A36-$A$46)*$B$25/1000)</f>
        <v>0</v>
      </c>
      <c r="C36" s="47">
        <f>IF(A36&lt;=0,0,(A36-$A$46)*2+$C$46+IF(AND(J16&lt;=0,J17&lt;=0),B25/1000))</f>
        <v>0</v>
      </c>
      <c r="D36" s="26">
        <f t="shared" si="0"/>
        <v>0</v>
      </c>
      <c r="E36" s="26">
        <f t="shared" si="1"/>
        <v>0</v>
      </c>
      <c r="F36" s="25">
        <f t="shared" si="2"/>
        <v>0</v>
      </c>
      <c r="G36" s="205">
        <f t="shared" si="5"/>
        <v>0</v>
      </c>
      <c r="H36" s="56">
        <f>IF(A36&lt;=0,0,$B$25/1000)</f>
        <v>0</v>
      </c>
      <c r="I36" s="205">
        <f>IF(OR(B25&lt;=0,A36&lt;=0),0,E36/SQRT($B$8*A36/H36))</f>
        <v>0</v>
      </c>
      <c r="J36" s="26">
        <f t="shared" si="3"/>
        <v>0</v>
      </c>
      <c r="K36" s="109">
        <f t="shared" si="4"/>
        <v>0</v>
      </c>
      <c r="L36" s="6"/>
      <c r="M36" s="6"/>
      <c r="N36" s="9"/>
      <c r="O36" s="142"/>
      <c r="P36" s="142"/>
      <c r="Q36" s="142"/>
      <c r="R36" s="8"/>
      <c r="S36" s="8"/>
    </row>
    <row r="37" spans="1:19" ht="21" customHeight="1">
      <c r="A37" s="268">
        <f t="shared" si="6"/>
        <v>0</v>
      </c>
      <c r="B37" s="51">
        <f t="shared" si="7"/>
        <v>0</v>
      </c>
      <c r="C37" s="51">
        <f t="shared" ref="C37:C43" si="8">IF(A37&lt;=0,0,(A37-$A$46)*2+$C$46)</f>
        <v>0</v>
      </c>
      <c r="D37" s="26">
        <f t="shared" si="0"/>
        <v>0</v>
      </c>
      <c r="E37" s="51">
        <f>IF(ISERROR(IF(A37&lt;=0,0,-2*LOG(2.51*$B$9/(4*D37*SQRT(8*$B$8*D37*$B$6/1000))+$B$7/(1000*(14.84*D37)))*SQRT(8*$B$8*D37*$B$6/1000))),0,IF(A37&lt;=0,0,-2*LOG(2.51*$B$9/(4*D37*SQRT(8*$B$8*D37*$B$6/1000))+$B$7/(1000*(14.84*D37)))*SQRT(8*$B$8*D37*$B$6/1000)))</f>
        <v>0</v>
      </c>
      <c r="F37" s="25">
        <f t="shared" si="2"/>
        <v>0</v>
      </c>
      <c r="G37" s="204">
        <f t="shared" si="5"/>
        <v>0</v>
      </c>
      <c r="H37" s="56">
        <f t="shared" ref="H37:H45" si="9">IF(A37&lt;=0,0,$B$25/1000)</f>
        <v>0</v>
      </c>
      <c r="I37" s="205">
        <f>IF(OR($B$25&lt;=0,A37&lt;=0),0,E37/SQRT($B$8*A37/H37))</f>
        <v>0</v>
      </c>
      <c r="J37" s="51">
        <f t="shared" si="3"/>
        <v>0</v>
      </c>
      <c r="K37" s="111">
        <f t="shared" si="4"/>
        <v>0</v>
      </c>
      <c r="L37" s="6"/>
      <c r="M37" s="6"/>
      <c r="N37" s="9"/>
      <c r="O37" s="8"/>
      <c r="P37" s="8"/>
      <c r="Q37" s="8"/>
      <c r="R37" s="8"/>
      <c r="S37" s="8"/>
    </row>
    <row r="38" spans="1:19" ht="21" customHeight="1">
      <c r="A38" s="268">
        <f t="shared" si="6"/>
        <v>0</v>
      </c>
      <c r="B38" s="51">
        <f t="shared" si="7"/>
        <v>0</v>
      </c>
      <c r="C38" s="51">
        <f t="shared" si="8"/>
        <v>0</v>
      </c>
      <c r="D38" s="26">
        <f t="shared" si="0"/>
        <v>0</v>
      </c>
      <c r="E38" s="51">
        <f t="shared" si="1"/>
        <v>0</v>
      </c>
      <c r="F38" s="25">
        <f t="shared" si="2"/>
        <v>0</v>
      </c>
      <c r="G38" s="204">
        <f t="shared" si="5"/>
        <v>0</v>
      </c>
      <c r="H38" s="56">
        <f t="shared" si="9"/>
        <v>0</v>
      </c>
      <c r="I38" s="205">
        <f t="shared" ref="I38:I45" si="10">IF(OR($B$25&lt;=0,A38&lt;=0),0,E38/SQRT($B$8*A38/H38))</f>
        <v>0</v>
      </c>
      <c r="J38" s="51">
        <f t="shared" si="3"/>
        <v>0</v>
      </c>
      <c r="K38" s="111">
        <f t="shared" si="4"/>
        <v>0</v>
      </c>
      <c r="L38" s="6"/>
      <c r="M38" s="334" t="s">
        <v>124</v>
      </c>
      <c r="N38" s="158"/>
      <c r="O38" s="154"/>
      <c r="P38" s="154"/>
      <c r="Q38" s="154"/>
      <c r="R38" s="8"/>
      <c r="S38" s="8"/>
    </row>
    <row r="39" spans="1:19" ht="21" customHeight="1">
      <c r="A39" s="268">
        <f t="shared" si="6"/>
        <v>0</v>
      </c>
      <c r="B39" s="51">
        <f t="shared" si="7"/>
        <v>0</v>
      </c>
      <c r="C39" s="51">
        <f t="shared" si="8"/>
        <v>0</v>
      </c>
      <c r="D39" s="26">
        <f t="shared" si="0"/>
        <v>0</v>
      </c>
      <c r="E39" s="51">
        <f t="shared" si="1"/>
        <v>0</v>
      </c>
      <c r="F39" s="25">
        <f t="shared" si="2"/>
        <v>0</v>
      </c>
      <c r="G39" s="204">
        <f t="shared" si="5"/>
        <v>0</v>
      </c>
      <c r="H39" s="56">
        <f t="shared" si="9"/>
        <v>0</v>
      </c>
      <c r="I39" s="205">
        <f t="shared" si="10"/>
        <v>0</v>
      </c>
      <c r="J39" s="51">
        <f t="shared" si="3"/>
        <v>0</v>
      </c>
      <c r="K39" s="111">
        <f t="shared" si="4"/>
        <v>0</v>
      </c>
      <c r="L39" s="6"/>
      <c r="M39" s="334"/>
      <c r="N39" s="330">
        <f>IF(B25&lt;=0,0,B26/1000-J20-J17)</f>
        <v>0</v>
      </c>
      <c r="O39" s="154"/>
      <c r="P39" s="154"/>
      <c r="Q39" s="154"/>
      <c r="R39" s="8"/>
      <c r="S39" s="8"/>
    </row>
    <row r="40" spans="1:19" ht="21" customHeight="1">
      <c r="A40" s="268">
        <f t="shared" si="6"/>
        <v>0</v>
      </c>
      <c r="B40" s="51">
        <f t="shared" si="7"/>
        <v>0</v>
      </c>
      <c r="C40" s="51">
        <f t="shared" si="8"/>
        <v>0</v>
      </c>
      <c r="D40" s="26">
        <f t="shared" si="0"/>
        <v>0</v>
      </c>
      <c r="E40" s="51">
        <f t="shared" si="1"/>
        <v>0</v>
      </c>
      <c r="F40" s="25">
        <f t="shared" si="2"/>
        <v>0</v>
      </c>
      <c r="G40" s="204">
        <f t="shared" si="5"/>
        <v>0</v>
      </c>
      <c r="H40" s="56">
        <f t="shared" si="9"/>
        <v>0</v>
      </c>
      <c r="I40" s="205">
        <f t="shared" si="10"/>
        <v>0</v>
      </c>
      <c r="J40" s="51">
        <f t="shared" si="3"/>
        <v>0</v>
      </c>
      <c r="K40" s="111">
        <f t="shared" si="4"/>
        <v>0</v>
      </c>
      <c r="L40" s="6"/>
      <c r="M40" s="334"/>
      <c r="N40" s="330"/>
      <c r="O40" s="154"/>
      <c r="P40" s="154"/>
      <c r="Q40" s="154"/>
      <c r="R40" s="8"/>
      <c r="S40" s="8"/>
    </row>
    <row r="41" spans="1:19" ht="21" customHeight="1">
      <c r="A41" s="268">
        <f t="shared" si="6"/>
        <v>0</v>
      </c>
      <c r="B41" s="51">
        <f t="shared" si="7"/>
        <v>0</v>
      </c>
      <c r="C41" s="51">
        <f t="shared" si="8"/>
        <v>0</v>
      </c>
      <c r="D41" s="26">
        <f t="shared" si="0"/>
        <v>0</v>
      </c>
      <c r="E41" s="51">
        <f t="shared" si="1"/>
        <v>0</v>
      </c>
      <c r="F41" s="25">
        <f t="shared" si="2"/>
        <v>0</v>
      </c>
      <c r="G41" s="204">
        <f t="shared" si="5"/>
        <v>0</v>
      </c>
      <c r="H41" s="56">
        <f t="shared" si="9"/>
        <v>0</v>
      </c>
      <c r="I41" s="205">
        <f t="shared" si="10"/>
        <v>0</v>
      </c>
      <c r="J41" s="51">
        <f t="shared" si="3"/>
        <v>0</v>
      </c>
      <c r="K41" s="111">
        <f t="shared" si="4"/>
        <v>0</v>
      </c>
      <c r="L41" s="6"/>
      <c r="M41" s="334"/>
      <c r="N41" s="330"/>
      <c r="O41" s="154"/>
      <c r="P41" s="154"/>
      <c r="Q41" s="154"/>
      <c r="R41" s="8"/>
      <c r="S41" s="8"/>
    </row>
    <row r="42" spans="1:19" ht="21" customHeight="1">
      <c r="A42" s="268">
        <f t="shared" si="6"/>
        <v>0</v>
      </c>
      <c r="B42" s="51">
        <f t="shared" si="7"/>
        <v>0</v>
      </c>
      <c r="C42" s="51">
        <f t="shared" si="8"/>
        <v>0</v>
      </c>
      <c r="D42" s="26">
        <f t="shared" si="0"/>
        <v>0</v>
      </c>
      <c r="E42" s="51">
        <f t="shared" si="1"/>
        <v>0</v>
      </c>
      <c r="F42" s="25">
        <f t="shared" si="2"/>
        <v>0</v>
      </c>
      <c r="G42" s="204">
        <f t="shared" si="5"/>
        <v>0</v>
      </c>
      <c r="H42" s="56">
        <f t="shared" si="9"/>
        <v>0</v>
      </c>
      <c r="I42" s="205">
        <f t="shared" si="10"/>
        <v>0</v>
      </c>
      <c r="J42" s="51">
        <f t="shared" si="3"/>
        <v>0</v>
      </c>
      <c r="K42" s="111">
        <f t="shared" si="4"/>
        <v>0</v>
      </c>
      <c r="L42" s="6"/>
      <c r="M42" s="334"/>
      <c r="N42" s="330"/>
      <c r="O42" s="154"/>
      <c r="P42" s="154"/>
      <c r="Q42" s="154"/>
      <c r="R42" s="8"/>
      <c r="S42" s="8"/>
    </row>
    <row r="43" spans="1:19" ht="21" customHeight="1">
      <c r="A43" s="268">
        <f t="shared" si="6"/>
        <v>0</v>
      </c>
      <c r="B43" s="51">
        <f t="shared" si="7"/>
        <v>0</v>
      </c>
      <c r="C43" s="51">
        <f t="shared" si="8"/>
        <v>0</v>
      </c>
      <c r="D43" s="26">
        <f t="shared" si="0"/>
        <v>0</v>
      </c>
      <c r="E43" s="51">
        <f t="shared" si="1"/>
        <v>0</v>
      </c>
      <c r="F43" s="25">
        <f t="shared" si="2"/>
        <v>0</v>
      </c>
      <c r="G43" s="204">
        <f t="shared" si="5"/>
        <v>0</v>
      </c>
      <c r="H43" s="56">
        <f t="shared" si="9"/>
        <v>0</v>
      </c>
      <c r="I43" s="205">
        <f t="shared" si="10"/>
        <v>0</v>
      </c>
      <c r="J43" s="51">
        <f t="shared" si="3"/>
        <v>0</v>
      </c>
      <c r="K43" s="111">
        <f t="shared" si="4"/>
        <v>0</v>
      </c>
      <c r="L43" s="6"/>
      <c r="M43" s="334"/>
      <c r="N43" s="158"/>
      <c r="O43" s="154"/>
      <c r="P43" s="154"/>
      <c r="Q43" s="154"/>
      <c r="R43" s="8"/>
      <c r="S43" s="8"/>
    </row>
    <row r="44" spans="1:19" ht="21" customHeight="1">
      <c r="A44" s="268">
        <f>IF(OR($B$25&lt;=0,$B$26&lt;=0),0,($B$26/1000-$J$17-$J$20)/10+A45)</f>
        <v>0</v>
      </c>
      <c r="B44" s="51">
        <f t="shared" si="7"/>
        <v>0</v>
      </c>
      <c r="C44" s="51">
        <f>IF(A44&lt;=0,0,(A44-$A$46)*2+$C$46)</f>
        <v>0</v>
      </c>
      <c r="D44" s="26">
        <f t="shared" si="0"/>
        <v>0</v>
      </c>
      <c r="E44" s="51">
        <f t="shared" si="1"/>
        <v>0</v>
      </c>
      <c r="F44" s="25">
        <f t="shared" si="2"/>
        <v>0</v>
      </c>
      <c r="G44" s="204">
        <f t="shared" si="5"/>
        <v>0</v>
      </c>
      <c r="H44" s="56">
        <f t="shared" si="9"/>
        <v>0</v>
      </c>
      <c r="I44" s="205">
        <f t="shared" si="10"/>
        <v>0</v>
      </c>
      <c r="J44" s="51">
        <f t="shared" si="3"/>
        <v>0</v>
      </c>
      <c r="K44" s="111">
        <f t="shared" si="4"/>
        <v>0</v>
      </c>
      <c r="L44" s="6"/>
      <c r="M44" s="6"/>
      <c r="N44" s="158"/>
      <c r="O44" s="154"/>
      <c r="P44" s="154"/>
      <c r="Q44" s="154"/>
      <c r="R44" s="8"/>
      <c r="S44" s="8"/>
    </row>
    <row r="45" spans="1:19" ht="21" customHeight="1">
      <c r="A45" s="269">
        <f>IF(OR(B25&lt;=0,$B$26&lt;=0),0,($B$26/1000-$J$17-$J$20)/10+A46)</f>
        <v>0</v>
      </c>
      <c r="B45" s="28">
        <f>IF(A45&lt;=0,0,$B$46+(A45-$A$46)*$B$25/1000)</f>
        <v>0</v>
      </c>
      <c r="C45" s="28">
        <f>IF(A45&lt;=0,0,(A45-$A$46)*2+$C$46)</f>
        <v>0</v>
      </c>
      <c r="D45" s="28">
        <f t="shared" si="0"/>
        <v>0</v>
      </c>
      <c r="E45" s="28">
        <f t="shared" si="1"/>
        <v>0</v>
      </c>
      <c r="F45" s="27">
        <f t="shared" si="2"/>
        <v>0</v>
      </c>
      <c r="G45" s="206">
        <f t="shared" si="5"/>
        <v>0</v>
      </c>
      <c r="H45" s="56">
        <f t="shared" si="9"/>
        <v>0</v>
      </c>
      <c r="I45" s="205">
        <f t="shared" si="10"/>
        <v>0</v>
      </c>
      <c r="J45" s="28">
        <f t="shared" si="3"/>
        <v>0</v>
      </c>
      <c r="K45" s="110">
        <f t="shared" si="4"/>
        <v>0</v>
      </c>
      <c r="L45" s="53"/>
      <c r="M45" s="6"/>
      <c r="N45" s="9"/>
      <c r="O45" s="8"/>
      <c r="P45" s="8"/>
      <c r="Q45" s="8"/>
      <c r="R45" s="8"/>
      <c r="S45" s="8"/>
    </row>
    <row r="46" spans="1:19" ht="21" customHeight="1">
      <c r="A46" s="202">
        <f>IF($B$26&lt;=0,0,$J$20/5+A47)</f>
        <v>0</v>
      </c>
      <c r="B46" s="120">
        <f>IF(A46&lt;=0,0,2*$J$21/$J$20*A46*A46/2)</f>
        <v>0</v>
      </c>
      <c r="C46" s="120">
        <f>IF(A46&lt;=0,0,2*SQRT(POWER(A46*$J$21/$J$20,2)+POWER(A46,2)))</f>
        <v>0</v>
      </c>
      <c r="D46" s="119">
        <f t="shared" si="0"/>
        <v>0</v>
      </c>
      <c r="E46" s="119">
        <f t="shared" si="1"/>
        <v>0</v>
      </c>
      <c r="F46" s="121">
        <f t="shared" si="2"/>
        <v>0</v>
      </c>
      <c r="G46" s="122">
        <f t="shared" si="5"/>
        <v>0</v>
      </c>
      <c r="H46" s="130">
        <f>IF(A46&lt;=0,0,2*$J$21/$J$20*A46)</f>
        <v>0</v>
      </c>
      <c r="I46" s="130">
        <f>IF(A46&lt;=0,0,E46/SQRT($B$8*A46/H46))</f>
        <v>0</v>
      </c>
      <c r="J46" s="119">
        <f t="shared" si="3"/>
        <v>0</v>
      </c>
      <c r="K46" s="124">
        <f t="shared" si="4"/>
        <v>0</v>
      </c>
      <c r="L46" s="6"/>
      <c r="M46" s="336" t="s">
        <v>79</v>
      </c>
      <c r="N46" s="9"/>
      <c r="O46" s="8"/>
      <c r="P46" s="8"/>
      <c r="R46" s="8"/>
      <c r="S46" s="8"/>
    </row>
    <row r="47" spans="1:19" ht="21" customHeight="1">
      <c r="A47" s="202">
        <f>IF($B$26&lt;=0,0,$J$20/5+A48)</f>
        <v>0</v>
      </c>
      <c r="B47" s="118">
        <f>IF(A47&lt;=0,0,2*$J$21/$J$20*A47*A47/2)</f>
        <v>0</v>
      </c>
      <c r="C47" s="118">
        <f>IF(A47&lt;=0,0,2*SQRT(POWER(A47*$J$21/$J$20,2)+POWER(A47,2)))</f>
        <v>0</v>
      </c>
      <c r="D47" s="118">
        <f t="shared" si="0"/>
        <v>0</v>
      </c>
      <c r="E47" s="118">
        <f t="shared" si="1"/>
        <v>0</v>
      </c>
      <c r="F47" s="125">
        <f t="shared" si="2"/>
        <v>0</v>
      </c>
      <c r="G47" s="123">
        <f t="shared" si="5"/>
        <v>0</v>
      </c>
      <c r="H47" s="123">
        <f>IF(A47&lt;=0,0,2*$J$21/$J$20*A47)</f>
        <v>0</v>
      </c>
      <c r="I47" s="123">
        <f>IF(A47&lt;=0,0,E47/SQRT($B$8*A47/H47))</f>
        <v>0</v>
      </c>
      <c r="J47" s="118">
        <f t="shared" si="3"/>
        <v>0</v>
      </c>
      <c r="K47" s="141">
        <f t="shared" si="4"/>
        <v>0</v>
      </c>
      <c r="L47" s="6"/>
      <c r="M47" s="336"/>
      <c r="N47" s="330">
        <f>IF(B25&lt;=0,0,J20)</f>
        <v>0</v>
      </c>
      <c r="O47" s="8"/>
      <c r="P47" s="8"/>
      <c r="R47" s="8"/>
      <c r="S47" s="8"/>
    </row>
    <row r="48" spans="1:19" ht="21" customHeight="1">
      <c r="A48" s="202">
        <f>IF($B$26&lt;=0,0,$J$20/5+A49)</f>
        <v>0</v>
      </c>
      <c r="B48" s="118">
        <f>IF(A48&lt;=0,0,2*$J$21/$J$20*A48*A48/2)</f>
        <v>0</v>
      </c>
      <c r="C48" s="118">
        <f>IF(A48&lt;=0,0,2*SQRT(POWER(A48*$J$21/$J$20,2)+POWER(A48,2)))</f>
        <v>0</v>
      </c>
      <c r="D48" s="118">
        <f t="shared" si="0"/>
        <v>0</v>
      </c>
      <c r="E48" s="118">
        <f t="shared" si="1"/>
        <v>0</v>
      </c>
      <c r="F48" s="125">
        <f t="shared" si="2"/>
        <v>0</v>
      </c>
      <c r="G48" s="123">
        <f t="shared" si="5"/>
        <v>0</v>
      </c>
      <c r="H48" s="123">
        <f>IF(A48&lt;=0,0,2*$J$21/$J$20*A48)</f>
        <v>0</v>
      </c>
      <c r="I48" s="123">
        <f>IF(A48&lt;=0,0,E48/SQRT($B$8*A48/H48))</f>
        <v>0</v>
      </c>
      <c r="J48" s="118">
        <f t="shared" si="3"/>
        <v>0</v>
      </c>
      <c r="K48" s="141">
        <f t="shared" si="4"/>
        <v>0</v>
      </c>
      <c r="L48" s="6"/>
      <c r="M48" s="336"/>
      <c r="N48" s="330"/>
      <c r="O48" s="93"/>
      <c r="P48" s="8"/>
      <c r="R48" s="8"/>
      <c r="S48" s="8"/>
    </row>
    <row r="49" spans="1:20" ht="21" customHeight="1">
      <c r="A49" s="202">
        <f>IF($B$26&lt;=0,0,$J$20/5+A50)</f>
        <v>0</v>
      </c>
      <c r="B49" s="118">
        <f>IF(A49&lt;=0,0,2*$J$21/$J$20*A49*A49/2)</f>
        <v>0</v>
      </c>
      <c r="C49" s="118">
        <f>IF(A49&lt;=0,0,2*SQRT(POWER(A49*$J$21/$J$20,2)+POWER(A49,2)))</f>
        <v>0</v>
      </c>
      <c r="D49" s="118">
        <f t="shared" si="0"/>
        <v>0</v>
      </c>
      <c r="E49" s="118">
        <f t="shared" si="1"/>
        <v>0</v>
      </c>
      <c r="F49" s="125">
        <f t="shared" si="2"/>
        <v>0</v>
      </c>
      <c r="G49" s="123">
        <f t="shared" si="5"/>
        <v>0</v>
      </c>
      <c r="H49" s="123">
        <f>IF(A49&lt;=0,0,2*$J$21/$J$20*A49)</f>
        <v>0</v>
      </c>
      <c r="I49" s="123">
        <f>IF(A49&lt;=0,0,E49/SQRT($B$8*A49/H49))</f>
        <v>0</v>
      </c>
      <c r="J49" s="118">
        <f t="shared" si="3"/>
        <v>0</v>
      </c>
      <c r="K49" s="141">
        <f t="shared" si="4"/>
        <v>0</v>
      </c>
      <c r="L49" s="6"/>
      <c r="M49" s="336"/>
      <c r="N49" s="330"/>
      <c r="O49" s="8"/>
      <c r="P49" s="8"/>
      <c r="R49" s="8"/>
      <c r="S49" s="8"/>
    </row>
    <row r="50" spans="1:20" ht="21" customHeight="1">
      <c r="A50" s="266">
        <f>IF(B26&lt;=0,0,J20/5)</f>
        <v>0</v>
      </c>
      <c r="B50" s="126">
        <f>IF(A50&lt;=0,0,2*$J$21/$J$20*A50*A50/2)</f>
        <v>0</v>
      </c>
      <c r="C50" s="126">
        <f>IF(A50&lt;=0,0,2*SQRT(POWER(A50*$J$21/$J$20,2)+POWER(A50,2)))</f>
        <v>0</v>
      </c>
      <c r="D50" s="126">
        <f t="shared" si="0"/>
        <v>0</v>
      </c>
      <c r="E50" s="126">
        <f t="shared" si="1"/>
        <v>0</v>
      </c>
      <c r="F50" s="127">
        <f t="shared" si="2"/>
        <v>0</v>
      </c>
      <c r="G50" s="128">
        <f t="shared" si="5"/>
        <v>0</v>
      </c>
      <c r="H50" s="128">
        <f>IF(A50&lt;=0,0,2*$J$21/$J$20*A50)</f>
        <v>0</v>
      </c>
      <c r="I50" s="128">
        <f>IF(A50&lt;=0,0,E50/SQRT($B$8*A50/H50))</f>
        <v>0</v>
      </c>
      <c r="J50" s="126">
        <f t="shared" si="3"/>
        <v>0</v>
      </c>
      <c r="K50" s="131">
        <f t="shared" si="4"/>
        <v>0</v>
      </c>
      <c r="L50" s="46"/>
      <c r="M50" s="336"/>
      <c r="N50" s="9"/>
      <c r="O50" s="8"/>
      <c r="P50" s="8"/>
      <c r="R50" s="8"/>
      <c r="S50" s="8"/>
    </row>
    <row r="51" spans="1:20" ht="15" customHeight="1">
      <c r="A51" s="57"/>
      <c r="B51" s="58"/>
      <c r="C51" s="58"/>
      <c r="D51" s="58"/>
      <c r="E51" s="58"/>
      <c r="F51" s="58"/>
      <c r="G51" s="59"/>
      <c r="H51" s="59"/>
      <c r="I51" s="59"/>
      <c r="J51" s="58"/>
      <c r="K51" s="59">
        <f t="shared" si="4"/>
        <v>0</v>
      </c>
      <c r="L51" s="6"/>
      <c r="M51" s="6"/>
      <c r="N51" s="9"/>
      <c r="O51" s="8"/>
      <c r="P51" s="8"/>
      <c r="Q51" s="8"/>
      <c r="R51" s="8"/>
      <c r="S51" s="8"/>
    </row>
    <row r="52" spans="1:20" ht="21" customHeight="1">
      <c r="A52" s="114" t="s">
        <v>131</v>
      </c>
      <c r="B52" s="60"/>
      <c r="C52" s="60"/>
      <c r="D52" s="60"/>
      <c r="E52" s="60"/>
      <c r="F52" s="60"/>
      <c r="G52" s="11"/>
      <c r="H52" s="11"/>
      <c r="I52" s="59"/>
      <c r="J52" s="58"/>
      <c r="K52" s="59">
        <f t="shared" si="4"/>
        <v>0</v>
      </c>
      <c r="L52" s="6"/>
      <c r="M52" s="6"/>
      <c r="N52" s="9"/>
      <c r="O52" s="8"/>
      <c r="P52" s="8"/>
      <c r="Q52" s="8"/>
      <c r="R52" s="8"/>
      <c r="S52" s="8"/>
    </row>
    <row r="53" spans="1:20" ht="21" customHeight="1">
      <c r="A53" s="313" t="s">
        <v>73</v>
      </c>
      <c r="B53" s="314"/>
      <c r="C53" s="314"/>
      <c r="D53" s="60"/>
      <c r="E53" s="60"/>
      <c r="F53" s="60"/>
      <c r="G53" s="11"/>
      <c r="H53" s="11"/>
      <c r="I53" s="59"/>
      <c r="J53" s="58"/>
      <c r="K53" s="59"/>
      <c r="L53" s="6"/>
      <c r="M53" s="6"/>
      <c r="N53" s="9"/>
      <c r="O53" s="8"/>
      <c r="P53" s="8"/>
      <c r="Q53" s="8"/>
      <c r="R53" s="8"/>
      <c r="S53" s="8"/>
    </row>
    <row r="54" spans="1:20" ht="21" customHeight="1">
      <c r="A54" s="132"/>
      <c r="B54" s="81">
        <f>IF(A54&lt;=0,0,IF(AND(A54&gt;0,A54&lt;=$A$46),2*$J$21/$J$20*A54*A54/2,IF(AND(A54&gt;$A$46,A54&lt;=$A$36),$B$46+(A54-$A$46)*$B$25/1000,IF(AND(A54&gt;$A$36,A54&lt;=$A$33),($B$25/1000+$B$25/1000-(2*(A54-$A$36)*$J$17/$J$16))/2*(A54-$A$36)+$B$36,0))))</f>
        <v>0</v>
      </c>
      <c r="C54" s="81">
        <f>IF(OR(B25&lt;=0,A54&lt;=0),0,IF(AND(A54&gt;0,A54&lt;=$A$46),2*SQRT(POWER(A54*$J$21/$J$20,2)+POWER(A54,2)),IF(AND(A54&gt;$A$46,A54&lt;=$A$36),(A54-$A$46)*2+$C$46,IF(AND(A54&gt;$A$36,A54&lt;$A$33),2*SQRT(POWER((A54-$A$36),2)+POWER((A54-$A$36)*$J$17/$J$16,2))+$C$36,IF(A54=$B$26/1000,2*SQRT(POWER((A54-$A$36),2)+POWER((A54-$A$36)*$J$17/$J$16,2))+$C$36+$B$25/1000-2*$J$16)))))</f>
        <v>0</v>
      </c>
      <c r="D54" s="81">
        <f>IF(A54&lt;=0,0,IF(ISERROR(B54/C54),0,B54/C54))</f>
        <v>0</v>
      </c>
      <c r="E54" s="81">
        <f>IF(ISERROR(-2*LOG(2.51*$B$9/(4*D54*SQRT(8*$B$8*D54*$B$6/1000))+$B$7/(1000*(14.84*D54)))*SQRT(8*$B$8*D54*$B$6/1000)),0,-2*LOG(2.51*$B$9/(4*D54*SQRT(8*$B$8*D54*$B$6/1000))+$B$7/(1000*(14.84*D54)))*SQRT(8*$B$8*D54*$B$6/1000))</f>
        <v>0</v>
      </c>
      <c r="F54" s="82">
        <f>E54*B54</f>
        <v>0</v>
      </c>
      <c r="G54" s="208">
        <f>IF(ISERROR(F54/$F$28),0,F54/$F$28)</f>
        <v>0</v>
      </c>
      <c r="H54" s="83">
        <f>IF(AND(A54&gt;0,A54&lt;=$A$46),2*$J$21/$J$20*A54,IF(AND(A54&gt;$A$46,A54&lt;=$A$36),$B$25/1000,IF(AND(A54&gt;$A$36,A54&lt;=$A$33),$B$25/1000-2*(A54-$A$36)*$J$17/$J$16,0)))</f>
        <v>0</v>
      </c>
      <c r="I54" s="208">
        <f>IF(OR(B25&lt;=0,A54&lt;=0),0,E54/SQRT($B$8*A54/H54))</f>
        <v>0</v>
      </c>
      <c r="J54" s="81">
        <f>IF(B54&lt;=0,0,A54+POWER(E54,2)/(2*$B$8))</f>
        <v>0</v>
      </c>
      <c r="K54" s="115">
        <f>9.81*$B$6*D54</f>
        <v>0</v>
      </c>
      <c r="L54" s="8"/>
      <c r="M54" s="6"/>
      <c r="N54" s="9"/>
      <c r="O54" s="8"/>
      <c r="P54" s="8"/>
      <c r="Q54" s="45"/>
      <c r="R54" s="8"/>
      <c r="S54" s="8"/>
    </row>
    <row r="55" spans="1:20" ht="21" customHeight="1">
      <c r="A55" s="303" t="s">
        <v>74</v>
      </c>
      <c r="B55" s="304"/>
      <c r="C55" s="304"/>
      <c r="D55" s="304"/>
      <c r="E55" s="58"/>
      <c r="F55" s="133"/>
      <c r="G55" s="59"/>
      <c r="H55" s="59"/>
      <c r="I55" s="59"/>
      <c r="J55" s="58"/>
      <c r="K55" s="59"/>
      <c r="L55" s="7"/>
      <c r="M55" s="6"/>
      <c r="N55" s="9"/>
      <c r="O55" s="8"/>
      <c r="P55" s="8"/>
      <c r="Q55" s="45"/>
      <c r="R55" s="8"/>
      <c r="S55" s="8"/>
    </row>
    <row r="56" spans="1:20" ht="21" customHeight="1">
      <c r="A56" s="132"/>
      <c r="B56" s="283">
        <f>IF(A56&lt;=0,0,IF(AND(A56&gt;0,A56&lt;=$A$46),2*$J$21/$J$20*A56*A56/2,IF(AND(A56&gt;$A$46,A56&lt;=$A$36),$B$46+(A56-$A$46)*$B$25/1000,IF(AND(A56&gt;$A$36,A56&lt;=$A$33),($B$25/1000+$B$25/1000-(2*(A56-$A$36)*$J$17/$J$16))/2*(A56-$A$36)+$B$36,0))))</f>
        <v>0</v>
      </c>
      <c r="C56" s="283">
        <f>IF(OR(B25&lt;=0,A56&lt;=0),0,IF(AND(A56&gt;0,A56&lt;=$A$46),2*SQRT(POWER(A56*$J$21/$J$20,2)+POWER(A56,2)),IF(AND(A56&gt;$A$46,A56&lt;=$A$36),(A56-$A$46)*2+$C$46,IF(AND(A56&gt;$A$36,A56&lt;$A$33),2*SQRT(POWER((A56-$A$36),2)+POWER((A56-$A$36)*$J$17/$J$16,2))+$C$36,IF(A56=$B$26/1000,2*SQRT(POWER((A56-$A$36),2)+POWER((A56-$A$36)*$J$17/$J$16,2))+$C$36+$B$25/1000-2*J16)))))</f>
        <v>0</v>
      </c>
      <c r="D56" s="283">
        <f>IF(ISERROR(B56/C56),0,B56/C56)</f>
        <v>0</v>
      </c>
      <c r="E56" s="283">
        <f>IF(ISERROR(-2*LOG(2.51*$B$9/(4*D56*SQRT(8*$B$8*D56*$B$6/1000))+$B$7/(1000*(14.84*D56)))*SQRT(8*$B$8*D56*$B$6/1000)),0,-2*LOG(2.51*$B$9/(4*D56*SQRT(8*$B$8*D56*$B$6/1000))+$B$7/(1000*(14.84*D56)))*SQRT(8*$B$8*D56*$B$6/1000))</f>
        <v>0</v>
      </c>
      <c r="F56" s="284">
        <f>E56*B56</f>
        <v>0</v>
      </c>
      <c r="G56" s="285">
        <f>IF(ISERROR(F56/$F$28),0,F56/$F$28)</f>
        <v>0</v>
      </c>
      <c r="H56" s="285">
        <f>IF(AND(A56&gt;0,A56&lt;=$A$46),2*$J$21/$J$20*A56,IF(AND(A56&gt;$A$46,A56&lt;=$A$36),$B$25/1000,IF(AND(A56&gt;$A$36,A56&lt;=$A$33),$B$25/1000-2*(A56-$A$36)*$J$17/$J$16,0)))</f>
        <v>0</v>
      </c>
      <c r="I56" s="285">
        <f>IF(OR(B25&lt;=0,A56&lt;=0),0,E56/SQRT($B$8*A56/H56))</f>
        <v>0</v>
      </c>
      <c r="J56" s="284">
        <f>IF(B56&lt;=0,0,A56+POWER(E56,2)/(2*$B$8))</f>
        <v>0</v>
      </c>
      <c r="K56" s="286">
        <f>9.81*$B$6*D56</f>
        <v>0</v>
      </c>
      <c r="L56" s="8"/>
      <c r="M56" s="6"/>
      <c r="N56" s="9"/>
      <c r="O56" s="8"/>
      <c r="P56" s="8"/>
      <c r="Q56" s="16"/>
      <c r="R56" s="8"/>
      <c r="S56" s="8"/>
    </row>
    <row r="57" spans="1:20" ht="15" customHeight="1">
      <c r="A57" s="61"/>
      <c r="B57" s="60"/>
      <c r="C57" s="60"/>
      <c r="D57" s="60"/>
      <c r="E57" s="60"/>
      <c r="F57" s="60"/>
      <c r="G57" s="11"/>
      <c r="H57" s="11"/>
      <c r="I57" s="6"/>
      <c r="J57" s="6"/>
      <c r="K57" s="6"/>
      <c r="L57" s="6"/>
      <c r="M57" s="6"/>
      <c r="N57" s="9"/>
      <c r="O57" s="8"/>
      <c r="P57" s="8"/>
      <c r="Q57" s="8"/>
      <c r="R57" s="8"/>
      <c r="S57" s="8"/>
    </row>
    <row r="58" spans="1:20" ht="21" customHeight="1">
      <c r="A58" s="62" t="s">
        <v>50</v>
      </c>
      <c r="B58" s="52">
        <f>IF(J56&lt;J28,J56,0)</f>
        <v>0</v>
      </c>
      <c r="C58" s="16" t="s">
        <v>65</v>
      </c>
      <c r="D58" s="34" t="s">
        <v>51</v>
      </c>
      <c r="E58" s="52">
        <f>IF(J28&gt;J56,J28,0)</f>
        <v>0</v>
      </c>
      <c r="F58" s="6" t="s">
        <v>8</v>
      </c>
      <c r="G58" s="6"/>
      <c r="H58" s="6"/>
      <c r="I58" s="6"/>
      <c r="J58" s="6"/>
      <c r="K58" s="6"/>
      <c r="L58" s="6"/>
      <c r="M58" s="6"/>
      <c r="N58" s="9"/>
      <c r="O58" s="8"/>
      <c r="P58" s="8"/>
      <c r="Q58" s="8"/>
      <c r="R58" s="8"/>
      <c r="S58" s="8"/>
    </row>
    <row r="59" spans="1:20" ht="21" customHeight="1">
      <c r="A59" s="63"/>
      <c r="B59" s="6" t="s">
        <v>52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9"/>
      <c r="O59" s="8"/>
      <c r="P59" s="8"/>
      <c r="Q59" s="8"/>
      <c r="R59" s="8"/>
      <c r="S59" s="8"/>
    </row>
    <row r="60" spans="1:20" ht="15" customHeight="1">
      <c r="A60" s="6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9"/>
      <c r="O60" s="8"/>
      <c r="P60" s="8"/>
      <c r="Q60" s="8"/>
      <c r="R60" s="8"/>
      <c r="S60" s="8"/>
    </row>
    <row r="61" spans="1:20" ht="21" customHeight="1">
      <c r="A61" s="62" t="s">
        <v>50</v>
      </c>
      <c r="B61" s="52">
        <f>IF(J56&gt;=J28,J56,0)</f>
        <v>0</v>
      </c>
      <c r="C61" s="16" t="s">
        <v>66</v>
      </c>
      <c r="D61" s="34" t="s">
        <v>51</v>
      </c>
      <c r="E61" s="52">
        <f>IF(J28&lt;=J56,J28,0)</f>
        <v>0</v>
      </c>
      <c r="F61" s="6" t="s">
        <v>8</v>
      </c>
      <c r="G61" s="6"/>
      <c r="H61" s="6"/>
      <c r="I61" s="6"/>
      <c r="J61" s="6"/>
      <c r="K61" s="6"/>
      <c r="L61" s="6"/>
      <c r="M61" s="6"/>
      <c r="N61" s="9"/>
      <c r="O61" s="8"/>
      <c r="P61" s="8"/>
      <c r="Q61" s="8"/>
      <c r="R61" s="8"/>
      <c r="S61" s="8"/>
    </row>
    <row r="62" spans="1:20" ht="21" customHeight="1">
      <c r="A62" s="63"/>
      <c r="B62" s="6" t="s">
        <v>53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9"/>
      <c r="O62" s="8"/>
      <c r="P62" s="8"/>
      <c r="Q62" s="8"/>
      <c r="R62" s="8"/>
      <c r="S62" s="8"/>
    </row>
    <row r="63" spans="1:20" ht="15" customHeight="1" thickBot="1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6"/>
      <c r="O63" s="8"/>
      <c r="P63" s="8"/>
      <c r="Q63" s="8"/>
      <c r="R63" s="8"/>
      <c r="S63" s="8"/>
    </row>
    <row r="64" spans="1:20" ht="12" customHeight="1">
      <c r="A64" s="149" t="s">
        <v>125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8"/>
      <c r="O64" s="8"/>
      <c r="P64" s="8"/>
      <c r="Q64" s="8"/>
      <c r="R64" s="8"/>
      <c r="S64" s="8"/>
      <c r="T64" s="8"/>
    </row>
    <row r="65" spans="1:20" ht="20.10000000000000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8"/>
      <c r="O65" s="8"/>
      <c r="P65" s="8"/>
      <c r="Q65" s="8"/>
      <c r="R65" s="8"/>
      <c r="S65" s="8"/>
      <c r="T65" s="8"/>
    </row>
    <row r="66" spans="1:2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8"/>
      <c r="O66" s="8"/>
      <c r="P66" s="8"/>
      <c r="Q66" s="8"/>
      <c r="R66" s="8"/>
      <c r="S66" s="8"/>
      <c r="T66" s="8"/>
    </row>
    <row r="67" spans="1:2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8"/>
      <c r="O67" s="8"/>
      <c r="P67" s="8"/>
      <c r="Q67" s="8"/>
      <c r="R67" s="8"/>
      <c r="S67" s="8"/>
      <c r="T67" s="8"/>
    </row>
    <row r="68" spans="1:2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8"/>
      <c r="O68" s="8"/>
      <c r="P68" s="8"/>
      <c r="Q68" s="8"/>
      <c r="R68" s="8"/>
      <c r="S68" s="8"/>
      <c r="T68" s="8"/>
    </row>
    <row r="69" spans="1:20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</row>
    <row r="70" spans="1:20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</row>
    <row r="71" spans="1:20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</row>
    <row r="72" spans="1:20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</row>
    <row r="73" spans="1:20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20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20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1:20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1:20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20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20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20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1:1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1:1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1:1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1:1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1:1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1:1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1:1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1:1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1:1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1:1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1:1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1:1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1:1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1:1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1:1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1:1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1:1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1:1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1:1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1:1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1:1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1:1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1:1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1:1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1:1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</row>
    <row r="123" spans="1:1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</row>
    <row r="124" spans="1:1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</row>
    <row r="125" spans="1:1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</row>
    <row r="126" spans="1:1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</row>
    <row r="127" spans="1:1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1:1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1:1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1:1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</row>
    <row r="131" spans="1:1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</row>
    <row r="132" spans="1:1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</row>
    <row r="133" spans="1:1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</row>
    <row r="134" spans="1:1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</row>
    <row r="135" spans="1:1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</row>
    <row r="136" spans="1:1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1:1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1:1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</row>
    <row r="140" spans="1:1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</row>
    <row r="141" spans="1:1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</row>
    <row r="142" spans="1:1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</row>
    <row r="143" spans="1:1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</row>
    <row r="145" spans="1:1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1:1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1:1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</row>
    <row r="149" spans="1:1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</row>
    <row r="150" spans="1:1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</row>
    <row r="151" spans="1:1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</sheetData>
  <sheetProtection password="8FFE" sheet="1"/>
  <mergeCells count="17">
    <mergeCell ref="A53:C53"/>
    <mergeCell ref="A55:D55"/>
    <mergeCell ref="I4:L4"/>
    <mergeCell ref="A4:C4"/>
    <mergeCell ref="L28:M28"/>
    <mergeCell ref="L1:N2"/>
    <mergeCell ref="A1:A2"/>
    <mergeCell ref="B1:K1"/>
    <mergeCell ref="B2:K2"/>
    <mergeCell ref="A15:F15"/>
    <mergeCell ref="N33:N35"/>
    <mergeCell ref="N47:N49"/>
    <mergeCell ref="N39:N42"/>
    <mergeCell ref="M46:M50"/>
    <mergeCell ref="M33:M35"/>
    <mergeCell ref="L31:M31"/>
    <mergeCell ref="M38:M43"/>
  </mergeCells>
  <phoneticPr fontId="0" type="noConversion"/>
  <printOptions horizontalCentered="1" verticalCentered="1"/>
  <pageMargins left="0.78740157480314965" right="0" top="0.19685039370078741" bottom="0" header="0" footer="0"/>
  <pageSetup paperSize="9" scale="6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014A-5EA0-41B7-B699-990C30C6EABE}">
  <dimension ref="A1:X160"/>
  <sheetViews>
    <sheetView showGridLines="0" showZeros="0" zoomScaleNormal="100" workbookViewId="0">
      <selection activeCell="B5" sqref="B5"/>
    </sheetView>
  </sheetViews>
  <sheetFormatPr baseColWidth="10" defaultRowHeight="12.75"/>
  <cols>
    <col min="1" max="2" width="12.7109375" style="2" customWidth="1"/>
    <col min="3" max="11" width="12.28515625" style="2" customWidth="1"/>
    <col min="12" max="14" width="4.7109375" style="2" customWidth="1"/>
    <col min="15" max="19" width="8.7109375" style="2" customWidth="1"/>
    <col min="20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177"/>
      <c r="M1" s="177"/>
      <c r="N1" s="178"/>
      <c r="O1" s="139"/>
      <c r="P1" s="139"/>
      <c r="Q1" s="139"/>
      <c r="R1" s="139"/>
      <c r="S1" s="8"/>
    </row>
    <row r="2" spans="1:19" ht="30" customHeight="1">
      <c r="A2" s="306"/>
      <c r="B2" s="310" t="s">
        <v>104</v>
      </c>
      <c r="C2" s="311"/>
      <c r="D2" s="311"/>
      <c r="E2" s="311"/>
      <c r="F2" s="311"/>
      <c r="G2" s="311"/>
      <c r="H2" s="311"/>
      <c r="I2" s="311"/>
      <c r="J2" s="311"/>
      <c r="K2" s="312"/>
      <c r="L2" s="187"/>
      <c r="M2" s="187"/>
      <c r="N2" s="188"/>
      <c r="O2" s="140"/>
      <c r="P2" s="140"/>
      <c r="Q2" s="140"/>
      <c r="R2" s="140"/>
      <c r="S2" s="8"/>
    </row>
    <row r="3" spans="1:19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140"/>
      <c r="M3" s="140"/>
      <c r="N3" s="258"/>
      <c r="O3" s="140"/>
      <c r="P3" s="140"/>
      <c r="Q3" s="140"/>
      <c r="R3" s="140"/>
      <c r="S3" s="8"/>
    </row>
    <row r="4" spans="1:19" ht="19.5" customHeight="1">
      <c r="A4" s="318" t="s">
        <v>59</v>
      </c>
      <c r="B4" s="319"/>
      <c r="C4" s="319"/>
      <c r="D4" s="6"/>
      <c r="E4" s="6"/>
      <c r="F4" s="6"/>
      <c r="G4" s="6"/>
      <c r="H4" s="6"/>
      <c r="I4" s="36"/>
      <c r="J4" s="170"/>
      <c r="K4" s="170"/>
      <c r="L4" s="170"/>
      <c r="M4" s="170"/>
      <c r="N4" s="179"/>
      <c r="O4" s="170"/>
      <c r="P4" s="101"/>
      <c r="Q4" s="101"/>
      <c r="R4" s="101"/>
      <c r="S4" s="8"/>
    </row>
    <row r="5" spans="1:19" ht="19.5" customHeight="1">
      <c r="A5" s="5" t="s">
        <v>28</v>
      </c>
      <c r="B5" s="148"/>
      <c r="C5" s="6" t="s">
        <v>29</v>
      </c>
      <c r="D5" s="6" t="s">
        <v>42</v>
      </c>
      <c r="E5" s="6"/>
      <c r="F5" s="6"/>
      <c r="G5" s="6"/>
      <c r="H5" s="6"/>
      <c r="I5" s="36"/>
      <c r="J5" s="171"/>
      <c r="K5" s="171"/>
      <c r="L5" s="36"/>
      <c r="M5" s="36"/>
      <c r="N5" s="136"/>
      <c r="O5" s="36"/>
      <c r="P5" s="36"/>
      <c r="Q5" s="36"/>
      <c r="R5" s="36"/>
      <c r="S5" s="6"/>
    </row>
    <row r="6" spans="1:19" ht="19.5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6"/>
      <c r="H6" s="6"/>
      <c r="I6" s="36"/>
      <c r="J6" s="36"/>
      <c r="K6" s="36"/>
      <c r="L6" s="105"/>
      <c r="M6" s="105"/>
      <c r="N6" s="215"/>
      <c r="O6" s="36"/>
      <c r="P6" s="36"/>
      <c r="Q6" s="36"/>
      <c r="R6" s="36"/>
      <c r="S6" s="6"/>
    </row>
    <row r="7" spans="1:19" ht="19.5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6"/>
      <c r="H7" s="6"/>
      <c r="I7" s="36"/>
      <c r="J7" s="36"/>
      <c r="K7" s="36"/>
      <c r="L7" s="105"/>
      <c r="M7" s="77"/>
      <c r="N7" s="181"/>
      <c r="O7" s="36"/>
      <c r="P7" s="36"/>
      <c r="Q7" s="36"/>
      <c r="R7" s="36"/>
      <c r="S7" s="6"/>
    </row>
    <row r="8" spans="1:19" ht="19.5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6"/>
      <c r="H8" s="6"/>
      <c r="I8" s="36"/>
      <c r="J8" s="88"/>
      <c r="K8" s="88"/>
      <c r="L8" s="105"/>
      <c r="M8" s="77"/>
      <c r="N8" s="136"/>
      <c r="O8" s="36"/>
      <c r="P8" s="36"/>
      <c r="Q8" s="36"/>
      <c r="R8" s="36"/>
      <c r="S8" s="6"/>
    </row>
    <row r="9" spans="1:19" ht="19.5" customHeight="1">
      <c r="A9" s="15"/>
      <c r="B9" s="12">
        <v>1.31E-6</v>
      </c>
      <c r="C9" s="13" t="s">
        <v>34</v>
      </c>
      <c r="D9" s="6" t="s">
        <v>46</v>
      </c>
      <c r="E9" s="6"/>
      <c r="F9" s="6"/>
      <c r="G9" s="6"/>
      <c r="H9" s="6"/>
      <c r="I9" s="36"/>
      <c r="J9" s="104"/>
      <c r="K9" s="104"/>
      <c r="L9" s="105"/>
      <c r="M9" s="77"/>
      <c r="N9" s="181"/>
      <c r="O9" s="36"/>
      <c r="P9" s="36"/>
      <c r="Q9" s="36"/>
      <c r="R9" s="36"/>
      <c r="S9" s="6"/>
    </row>
    <row r="10" spans="1:19" ht="15" customHeight="1">
      <c r="A10" s="5"/>
      <c r="B10" s="12"/>
      <c r="C10" s="13"/>
      <c r="D10" s="6"/>
      <c r="E10" s="6"/>
      <c r="F10" s="6"/>
      <c r="G10" s="6"/>
      <c r="H10" s="6"/>
      <c r="I10" s="36"/>
      <c r="J10" s="173"/>
      <c r="K10" s="173"/>
      <c r="L10" s="105"/>
      <c r="M10" s="77"/>
      <c r="N10" s="181"/>
      <c r="O10" s="36"/>
      <c r="P10" s="36"/>
      <c r="Q10" s="36"/>
      <c r="R10" s="36"/>
      <c r="S10" s="6"/>
    </row>
    <row r="11" spans="1:19" ht="19.5" customHeight="1">
      <c r="A11" s="32" t="s">
        <v>9</v>
      </c>
      <c r="B11" s="37"/>
      <c r="C11" s="13"/>
      <c r="D11" s="7"/>
      <c r="E11" s="6"/>
      <c r="F11" s="6"/>
      <c r="G11" s="6"/>
      <c r="H11" s="6"/>
      <c r="I11" s="36"/>
      <c r="J11" s="36"/>
      <c r="K11" s="36"/>
      <c r="L11" s="166"/>
      <c r="M11" s="77"/>
      <c r="N11" s="181"/>
      <c r="O11" s="36"/>
      <c r="P11" s="36"/>
      <c r="Q11" s="36"/>
      <c r="R11" s="36"/>
      <c r="S11" s="6"/>
    </row>
    <row r="12" spans="1:19" ht="19.5" customHeight="1">
      <c r="A12" s="328" t="s">
        <v>93</v>
      </c>
      <c r="B12" s="329"/>
      <c r="C12" s="12"/>
      <c r="D12" s="12"/>
      <c r="E12" s="6"/>
      <c r="F12" s="6"/>
      <c r="G12" s="6"/>
      <c r="H12" s="6"/>
      <c r="I12" s="36"/>
      <c r="J12" s="174"/>
      <c r="K12" s="174"/>
      <c r="L12" s="36"/>
      <c r="M12" s="36"/>
      <c r="N12" s="136"/>
      <c r="O12" s="36"/>
      <c r="P12" s="36"/>
      <c r="Q12" s="281"/>
      <c r="R12" s="36"/>
      <c r="S12" s="6"/>
    </row>
    <row r="13" spans="1:19" ht="19.5" customHeight="1">
      <c r="A13" s="15" t="s">
        <v>100</v>
      </c>
      <c r="B13" s="12"/>
      <c r="C13" s="112" t="s">
        <v>121</v>
      </c>
      <c r="D13" s="282"/>
      <c r="E13" s="6" t="s">
        <v>0</v>
      </c>
      <c r="F13" s="6"/>
      <c r="G13" s="6"/>
      <c r="H13" s="6"/>
      <c r="I13" s="36"/>
      <c r="J13" s="36"/>
      <c r="K13" s="36"/>
      <c r="L13" s="166"/>
      <c r="M13" s="166"/>
      <c r="N13" s="182"/>
      <c r="O13" s="36"/>
      <c r="P13" s="36"/>
      <c r="Q13" s="36"/>
      <c r="R13" s="36"/>
      <c r="S13" s="6"/>
    </row>
    <row r="14" spans="1:19" ht="19.5" customHeight="1">
      <c r="A14" s="315" t="s">
        <v>122</v>
      </c>
      <c r="B14" s="316"/>
      <c r="C14" s="45" t="s">
        <v>101</v>
      </c>
      <c r="D14" s="209">
        <f>IF(D13&lt;=0,0,D13/2000)</f>
        <v>0</v>
      </c>
      <c r="E14" s="6" t="s">
        <v>8</v>
      </c>
      <c r="F14" s="6"/>
      <c r="G14" s="6"/>
      <c r="H14" s="6"/>
      <c r="I14" s="36"/>
      <c r="J14" s="36"/>
      <c r="K14" s="36"/>
      <c r="L14" s="166"/>
      <c r="M14" s="166"/>
      <c r="N14" s="182"/>
      <c r="O14" s="36"/>
      <c r="P14" s="36"/>
      <c r="Q14" s="36"/>
      <c r="R14" s="36"/>
      <c r="S14" s="6"/>
    </row>
    <row r="15" spans="1:19" ht="19.5" customHeight="1">
      <c r="A15" s="15" t="s">
        <v>130</v>
      </c>
      <c r="B15" s="12"/>
      <c r="C15" s="194" t="s">
        <v>103</v>
      </c>
      <c r="D15" s="199"/>
      <c r="E15" s="6" t="s">
        <v>8</v>
      </c>
      <c r="F15" s="6"/>
      <c r="G15" s="6"/>
      <c r="H15" s="6"/>
      <c r="I15" s="36"/>
      <c r="J15" s="36"/>
      <c r="K15" s="36"/>
      <c r="L15" s="166"/>
      <c r="M15" s="166"/>
      <c r="N15" s="182"/>
      <c r="O15" s="36"/>
      <c r="P15" s="36"/>
      <c r="Q15" s="36"/>
      <c r="R15" s="36"/>
      <c r="S15" s="6"/>
    </row>
    <row r="16" spans="1:19" ht="19.5" customHeight="1">
      <c r="A16" s="15"/>
      <c r="B16" s="12"/>
      <c r="C16" s="167"/>
      <c r="D16" s="30"/>
      <c r="E16" s="36"/>
      <c r="F16" s="36"/>
      <c r="G16" s="6"/>
      <c r="H16" s="293"/>
      <c r="I16" s="319" t="s">
        <v>58</v>
      </c>
      <c r="J16" s="319"/>
      <c r="K16" s="319"/>
      <c r="L16" s="295"/>
      <c r="M16" s="295"/>
      <c r="N16" s="182"/>
      <c r="O16" s="78"/>
      <c r="P16" s="45"/>
      <c r="Q16" s="45"/>
      <c r="R16" s="6"/>
      <c r="S16" s="6"/>
    </row>
    <row r="17" spans="1:19" ht="19.5" customHeight="1">
      <c r="A17" s="315" t="s">
        <v>71</v>
      </c>
      <c r="B17" s="316"/>
      <c r="C17" s="316"/>
      <c r="D17" s="316"/>
      <c r="E17" s="316"/>
      <c r="F17" s="316"/>
      <c r="G17" s="6"/>
      <c r="H17" s="279"/>
      <c r="I17" s="7" t="s">
        <v>11</v>
      </c>
      <c r="J17" s="229"/>
      <c r="K17" s="6"/>
      <c r="L17" s="279"/>
      <c r="M17" s="293"/>
      <c r="N17" s="137"/>
      <c r="O17" s="34"/>
      <c r="P17" s="6"/>
      <c r="Q17" s="6"/>
      <c r="R17" s="6"/>
      <c r="S17" s="6"/>
    </row>
    <row r="18" spans="1:19" ht="19.5" customHeight="1">
      <c r="A18" s="15" t="s">
        <v>41</v>
      </c>
      <c r="B18" s="16"/>
      <c r="C18" s="16"/>
      <c r="D18" s="16"/>
      <c r="E18" s="16"/>
      <c r="F18" s="16"/>
      <c r="G18" s="6"/>
      <c r="H18" s="279"/>
      <c r="I18" s="6" t="s">
        <v>60</v>
      </c>
      <c r="J18" s="209">
        <f>IF(AND(A22&lt;=0,B27&lt;=0),0,0.2)</f>
        <v>0</v>
      </c>
      <c r="K18" s="169" t="s">
        <v>8</v>
      </c>
      <c r="L18" s="339"/>
      <c r="M18" s="339"/>
      <c r="N18" s="183"/>
      <c r="O18" s="34"/>
      <c r="P18" s="60"/>
      <c r="Q18" s="6"/>
      <c r="R18" s="6"/>
      <c r="S18" s="6"/>
    </row>
    <row r="19" spans="1:19" ht="19.5" customHeight="1">
      <c r="A19" s="15" t="s">
        <v>2</v>
      </c>
      <c r="B19" s="16"/>
      <c r="C19" s="16"/>
      <c r="D19" s="16"/>
      <c r="E19" s="6"/>
      <c r="F19" s="6"/>
      <c r="G19" s="6"/>
      <c r="H19" s="279"/>
      <c r="I19" s="6" t="s">
        <v>12</v>
      </c>
      <c r="J19" s="209">
        <f>IF(J18&lt;=0,0,J18)</f>
        <v>0</v>
      </c>
      <c r="K19" s="14" t="s">
        <v>8</v>
      </c>
      <c r="L19" s="339"/>
      <c r="M19" s="339"/>
      <c r="N19" s="137"/>
      <c r="O19" s="34"/>
      <c r="P19" s="232"/>
      <c r="Q19" s="232"/>
      <c r="R19" s="6"/>
      <c r="S19" s="6"/>
    </row>
    <row r="20" spans="1:19" ht="19.5" customHeight="1">
      <c r="A20" s="17" t="s">
        <v>3</v>
      </c>
      <c r="B20" s="18" t="s">
        <v>4</v>
      </c>
      <c r="C20" s="19" t="s">
        <v>5</v>
      </c>
      <c r="D20" s="19" t="s">
        <v>6</v>
      </c>
      <c r="E20" s="19" t="s">
        <v>7</v>
      </c>
      <c r="F20" s="20" t="s">
        <v>35</v>
      </c>
      <c r="G20" s="79"/>
      <c r="H20" s="279"/>
      <c r="I20" s="331" t="s">
        <v>56</v>
      </c>
      <c r="J20" s="331"/>
      <c r="K20" s="14"/>
      <c r="L20" s="339"/>
      <c r="M20" s="339"/>
      <c r="N20" s="137"/>
      <c r="O20" s="34"/>
      <c r="P20" s="232"/>
      <c r="Q20" s="232"/>
      <c r="R20" s="6"/>
      <c r="S20" s="6"/>
    </row>
    <row r="21" spans="1:19" ht="19.5" customHeight="1">
      <c r="A21" s="21" t="s">
        <v>0</v>
      </c>
      <c r="B21" s="22" t="s">
        <v>0</v>
      </c>
      <c r="C21" s="22" t="s">
        <v>36</v>
      </c>
      <c r="D21" s="23" t="s">
        <v>8</v>
      </c>
      <c r="E21" s="23" t="s">
        <v>8</v>
      </c>
      <c r="F21" s="24" t="s">
        <v>36</v>
      </c>
      <c r="G21" s="45"/>
      <c r="H21" s="279"/>
      <c r="I21" s="6" t="s">
        <v>55</v>
      </c>
      <c r="J21" s="52">
        <f>IF(OR(B27&lt;=0,B28&lt;=0),0,D13/2000)</f>
        <v>0</v>
      </c>
      <c r="K21" s="14" t="s">
        <v>8</v>
      </c>
      <c r="L21" s="339"/>
      <c r="M21" s="339"/>
      <c r="N21" s="137"/>
      <c r="O21" s="34"/>
      <c r="P21" s="232"/>
      <c r="Q21" s="232"/>
      <c r="R21" s="6"/>
      <c r="S21" s="6"/>
    </row>
    <row r="22" spans="1:19" ht="19.5" customHeight="1">
      <c r="A22" s="75"/>
      <c r="B22" s="76"/>
      <c r="C22" s="222">
        <f>IF(OR(A22&lt;=0,B22&lt;=0,B6&lt;=0),0,IF($D$14&lt;=$D$13/2000,POWER($D$13/2000,2)/2*(2*ACOS(1-$D$14/($D$13/2000))*180/PI()*PI()/180-SIN(2*ACOS(1-$D$14/($D$13/2000))*180/PI())*PI()/180)+(H23+A22/1000)/2*H28+(B22/1000-H28-$D$14-$J$19)*A22/1000+(A22/1000+A22/1000-2*$J$18)/2*$J$19,IF($D$14&gt;$D$13/2000,POWER($D$13/2000,2)/2*PI()+($D$14-$D$13/2000)*H23+(H23+A22/1000)/2*H28+(B22/1000-H28-$D$14-$J$19)*A22/1000+(A22/1000+A22/1000-2*$J$18)/2*$J$19)))</f>
        <v>0</v>
      </c>
      <c r="D22" s="235">
        <f>IF(OR(A22&lt;=0,B22&lt;=0,B6&lt;=0),0,IF($D$14&lt;=$D$13/2000,$D$13/2000*2*ACOS(1-$D$14/($D$13/2000))+2*SQRT(POWER(H27,2)+POWER(H28,2))+2*(B22/1000-H28-$D$14-$J$19)+2*SQRT(POWER($J$18,2)+POWER($J$19,2))+A22/1000-2*$J$18,IF($D$14&gt;$D$13/2000,$D$13/2000*PI()+2*($D$14-$D$13/2000)+2*SQRT(POWER(H27,2)+POWER(H28,2))+2*(B22/1000-H28-$D$14-$J$19)+2*SQRT(POWER($J$18,2)+POWER($J$19,2))+A22/1000-2*$J$18)))</f>
        <v>0</v>
      </c>
      <c r="E22" s="47">
        <f>IF(ISERROR(C22/D22),0,C22/D22)</f>
        <v>0</v>
      </c>
      <c r="F22" s="243">
        <f>IF(ISERROR($B$5/(-2*LOG(2.51*$B$9/(4*E22*SQRT(8*$B$8*E22*$B$6/1000))+$B$7/(1000*(14.84*E22)))*SQRT(8*$B$8*E22*$B$6/1000))),0,$B$5/(-2*LOG(2.51*$B$9/(4*E22*SQRT(8*$B$8*E22*$B$6/1000))+$B$7/(1000*(14.84*E22)))*SQRT(8*$B$8*E22*$B$6/1000)))</f>
        <v>0</v>
      </c>
      <c r="G22" s="294">
        <f>IF(B22&lt;=0,0,IF(B22/1000&lt;($J$19+D14+H28),"HN erhöhen",0))</f>
        <v>0</v>
      </c>
      <c r="H22" s="279"/>
      <c r="I22" s="14" t="s">
        <v>64</v>
      </c>
      <c r="J22" s="52">
        <f>IF(OR(B27&lt;=0,B28&lt;=0),0,D14)</f>
        <v>0</v>
      </c>
      <c r="K22" s="14" t="s">
        <v>8</v>
      </c>
      <c r="L22" s="339"/>
      <c r="M22" s="339"/>
      <c r="N22" s="137"/>
      <c r="O22" s="34"/>
      <c r="P22" s="6"/>
      <c r="Q22" s="232"/>
      <c r="R22" s="6"/>
      <c r="S22" s="6"/>
    </row>
    <row r="23" spans="1:19" ht="19.5" customHeight="1">
      <c r="A23" s="270"/>
      <c r="B23" s="271"/>
      <c r="C23" s="260">
        <f>IF(OR(A23&lt;=0,B23&lt;=0,B6&lt;=0),0,IF($D$14&lt;=$D$13/2000,POWER($D$13/2000,2)/2*(2*ACOS(1-$D$14/($D$13/2000))*180/PI()*PI()/180-SIN(2*ACOS(1-$D$14/($D$13/2000))*180/PI())*PI()/180)+(L23+A23/1000)/2*L28+(B23/1000-L28-$D$14-$J$19)*A23/1000+(A23/1000+A23/1000-2*$J$18)/2*$J$19,IF($D$14&gt;$D$13/2000,POWER($D$13/2000,2)/2*PI()+($D$14-$D$13/2000)*L23+(L23+A23/1000)/2*L28+(B23/1000-L28-$D$14-$J$19)*A23/1000+(A23/1000+A23/1000-2*$J$18)/2*$J$19)))</f>
        <v>0</v>
      </c>
      <c r="D23" s="80">
        <f>IF(OR(A23&lt;=0,B23&lt;=0,B6&lt;=0),0,IF($D$14&lt;=$D$13/2000,$D$13/2000*2*ACOS(1-$D$14/($D$13/2000))+2*SQRT(POWER(L27,2)+POWER(L28,2))+2*(B23/1000-L28-$D$14-$J$19)+2*SQRT(POWER($J$18,2)+POWER($J$19,2))+A23/1000-2*$J$18,IF($D$14&gt;$D$13/2000,$D$13/2000*PI()+2*($D$14-$D$13/2000)+2*SQRT(POWER(L27,2)+POWER(L28,2))+2*(B23/1000-L28-$D$14-$J$19)+2*SQRT(POWER($J$18,2)+POWER($J$19,2))+A23/1000-2*$J$18)))</f>
        <v>0</v>
      </c>
      <c r="E23" s="28">
        <f>IF(ISERROR(C23/D23),0,C23/D23)</f>
        <v>0</v>
      </c>
      <c r="F23" s="261">
        <f>IF(ISERROR($B$5/(-2*LOG(2.51*$B$9/(4*E23*SQRT(8*$B$8*E23*$B$6/1000))+$B$7/(1000*(14.84*E23)))*SQRT(8*$B$8*E23*$B$6/1000))),0,$B$5/(-2*LOG(2.51*$B$9/(4*E23*SQRT(8*$B$8*E23*$B$6/1000))+$B$7/(1000*(14.84*E23)))*SQRT(8*$B$8*E23*$B$6/1000)))</f>
        <v>0</v>
      </c>
      <c r="G23" s="294">
        <f>IF(B23&lt;=0,0,IF(B23/1000&lt;($J$19+D14+L28),"HN erhöhen",0))</f>
        <v>0</v>
      </c>
      <c r="H23" s="280">
        <f>IF(OR(B6&lt;=0,A22&lt;=0,B22&lt;=0),0,IF(D14&gt;=D13/2000,2*D13/2000,IF(D14&lt;=D13/2000,2*D13/2000*SIN(2*ACOS(1-D14/(D13/2000)*180/PI()/2*PI()/180)))))</f>
        <v>0</v>
      </c>
      <c r="I23" s="13" t="s">
        <v>68</v>
      </c>
      <c r="J23" s="52">
        <f>IF($J$22&gt;=$J$21,2*$J$21,IF($J$22&lt;=$J$21,2*$J$21*SIN(2*ACOS(1-$J$22/$J$21)*180/PI()/2*PI()/180)))</f>
        <v>0</v>
      </c>
      <c r="K23" s="14" t="s">
        <v>8</v>
      </c>
      <c r="L23" s="341">
        <f>IF(OR(B6&lt;=0,A23&lt;=0,B23&lt;=0),0,IF(D14&gt;=D13/2000,2*D13/2000,IF(D14&lt;=D13/2000,2*D13/2000*SIN(2*ACOS(1-D14/(D13/2000)*180/PI()/2*PI()/180)))))</f>
        <v>0</v>
      </c>
      <c r="M23" s="341"/>
      <c r="N23" s="137"/>
      <c r="O23" s="210"/>
      <c r="P23" s="8"/>
      <c r="Q23" s="207"/>
      <c r="R23" s="8"/>
      <c r="S23" s="8"/>
    </row>
    <row r="24" spans="1:19" ht="19.5" customHeight="1">
      <c r="A24" s="29"/>
      <c r="B24" s="30"/>
      <c r="C24" s="31"/>
      <c r="D24" s="31"/>
      <c r="E24" s="31"/>
      <c r="F24" s="31"/>
      <c r="G24" s="6"/>
      <c r="H24" s="279"/>
      <c r="I24" s="329" t="s">
        <v>75</v>
      </c>
      <c r="J24" s="329"/>
      <c r="K24" s="160"/>
      <c r="L24" s="339"/>
      <c r="M24" s="339"/>
      <c r="N24" s="137"/>
      <c r="O24" s="210"/>
      <c r="P24" s="207"/>
      <c r="Q24" s="207"/>
      <c r="R24" s="8"/>
      <c r="S24" s="8"/>
    </row>
    <row r="25" spans="1:19" ht="19.5" customHeight="1">
      <c r="A25" s="32" t="s">
        <v>9</v>
      </c>
      <c r="B25" s="16"/>
      <c r="C25" s="16"/>
      <c r="D25" s="16"/>
      <c r="E25" s="6"/>
      <c r="F25" s="6"/>
      <c r="G25" s="6"/>
      <c r="H25" s="279"/>
      <c r="I25" s="278" t="s">
        <v>129</v>
      </c>
      <c r="J25" s="277">
        <f>IF(OR(B27&lt;=0,B28&lt;=0),0,D15)</f>
        <v>0</v>
      </c>
      <c r="K25" s="34"/>
      <c r="L25" s="339"/>
      <c r="M25" s="339"/>
      <c r="N25" s="137"/>
      <c r="R25" s="8"/>
      <c r="S25" s="8"/>
    </row>
    <row r="26" spans="1:19" ht="19.5" customHeight="1">
      <c r="A26" s="328" t="s">
        <v>10</v>
      </c>
      <c r="B26" s="329"/>
      <c r="C26" s="16"/>
      <c r="D26" s="8"/>
      <c r="E26" s="329" t="s">
        <v>106</v>
      </c>
      <c r="F26" s="329"/>
      <c r="G26" s="6"/>
      <c r="H26" s="279"/>
      <c r="I26" s="233" t="s">
        <v>69</v>
      </c>
      <c r="J26" s="6"/>
      <c r="K26" s="14"/>
      <c r="L26" s="339"/>
      <c r="M26" s="339"/>
      <c r="N26" s="9"/>
      <c r="R26" s="8"/>
      <c r="S26" s="8"/>
    </row>
    <row r="27" spans="1:19" ht="19.5" customHeight="1">
      <c r="A27" s="5" t="s">
        <v>3</v>
      </c>
      <c r="B27" s="236">
        <f>A23</f>
        <v>0</v>
      </c>
      <c r="C27" s="6" t="s">
        <v>0</v>
      </c>
      <c r="D27" s="8"/>
      <c r="E27" s="34" t="s">
        <v>54</v>
      </c>
      <c r="F27" s="86">
        <f>IF(OR(B6&lt;=0,B27&lt;=0,B28&lt;=0),0,IF(J22&lt;=J21,POWER($J$21,2)/2*(2*ACOS(1-D14/(D13/2000))*180/PI()*PI()/180-SIN(2*ACOS(1-D14/(D13/2000))*180/PI())*PI()/180)+($J$23+B27/1000)/2*$J$28+(B28/1000-$J$28-$J$22-$J$19)*B27/1000+(B27/1000+B27/1000-2*$J$18)/2*$J$19,IF(J22&gt;J21,POWER($J$21,2)/2*PI()+($J$22-$J$21)*$J$23+($J$23+B27/1000)/2*$J$28+(B28/1000-$J$28-$J$22-$J$19)*B27/1000+(B27/1000+B27/1000-2*$J$18)/2*$J$19)))</f>
        <v>0</v>
      </c>
      <c r="G27" s="6" t="s">
        <v>36</v>
      </c>
      <c r="H27" s="280">
        <f>IF(OR(B6&lt;=0,A22&lt;=0,B22&lt;=0),0,(A22/1000-H23)/2)</f>
        <v>0</v>
      </c>
      <c r="I27" s="6" t="s">
        <v>70</v>
      </c>
      <c r="J27" s="52">
        <f>IF(OR(B27&lt;=0,B28&lt;=0,B6&lt;=0),0,(B27/1000-J23)/2)</f>
        <v>0</v>
      </c>
      <c r="K27" s="14" t="s">
        <v>8</v>
      </c>
      <c r="L27" s="341">
        <f>IF(OR(B6&lt;=0,A23&lt;=0,B23&lt;=0),0,(A23/1000-L23)/2)</f>
        <v>0</v>
      </c>
      <c r="M27" s="341"/>
      <c r="N27" s="137"/>
      <c r="O27" s="230"/>
      <c r="P27" s="8"/>
      <c r="Q27" s="8"/>
      <c r="R27" s="8"/>
      <c r="S27" s="8"/>
    </row>
    <row r="28" spans="1:19" ht="19.5" customHeight="1">
      <c r="A28" s="5" t="s">
        <v>4</v>
      </c>
      <c r="B28" s="236">
        <f>B23</f>
        <v>0</v>
      </c>
      <c r="C28" s="6" t="s">
        <v>0</v>
      </c>
      <c r="D28" s="8"/>
      <c r="E28" s="35" t="s">
        <v>62</v>
      </c>
      <c r="F28" s="288">
        <f>IF(OR(B27&lt;=0,B28&lt;=0,B6&lt;=0),0,IF(J22&lt;=J21,$J$21*2*ACOS(1-$J$22/$J$21)+2*SQRT(POWER($J$27,2)+POWER($J$28,2))+2*(B28/1000-J28-$J$22-$J$19)+2*SQRT(POWER($J$18,2)+POWER($J$19,2))+B27/1000-2*$J$18,IF(J22&gt;J21,$J$21*PI()+2*($J$22-$J$21)+2*SQRT(POWER($J$27,2)+POWER($J$28,2))+2*(B28/1000-J28-$J$22-$J$19)+2*SQRT(POWER($J$18,2)+POWER($J$19,2))+B27/1000-2*$J$18)))</f>
        <v>0</v>
      </c>
      <c r="G28" s="36" t="s">
        <v>8</v>
      </c>
      <c r="H28" s="280">
        <f>IF(OR(B6&lt;=0,A22&lt;=0,B22&lt;=0),0,((A22/1000-H23)/2)/D15)</f>
        <v>0</v>
      </c>
      <c r="I28" s="8" t="s">
        <v>112</v>
      </c>
      <c r="J28" s="52">
        <f>IF(OR(B27&lt;=0,B28&lt;=0,B6&lt;=0),0,((B27/1000-J23)/2)/J25)</f>
        <v>0</v>
      </c>
      <c r="K28" s="6" t="s">
        <v>8</v>
      </c>
      <c r="L28" s="340">
        <f>IF(OR(B6&lt;=0,A23&lt;=0,B23&lt;=0),0,((A23/1000-L23)/2)/D15)</f>
        <v>0</v>
      </c>
      <c r="M28" s="340"/>
      <c r="N28" s="137"/>
      <c r="O28" s="34"/>
      <c r="P28" s="207"/>
      <c r="Q28" s="8"/>
      <c r="R28" s="8"/>
      <c r="S28" s="8"/>
    </row>
    <row r="29" spans="1:19" ht="19.5" customHeight="1">
      <c r="A29" s="5"/>
      <c r="B29" s="37"/>
      <c r="C29" s="6"/>
      <c r="D29" s="8"/>
      <c r="E29" s="200" t="s">
        <v>111</v>
      </c>
      <c r="F29" s="289">
        <f>IF(OR(B6&lt;=0,B27&lt;=0,B28&lt;=0),0,-2*LOG(2.51*$B$9/(4*F27/F28*SQRT(8*$B$8*F27/F28*$B$6/1000))+$B$7/(1000*(14.84*F27/F28)))*SQRT(8*$B$8*F27/F28*$B$6/1000))</f>
        <v>0</v>
      </c>
      <c r="G29" s="95" t="s">
        <v>15</v>
      </c>
      <c r="H29" s="279"/>
      <c r="I29" s="8"/>
      <c r="J29" s="8"/>
      <c r="K29" s="16"/>
      <c r="L29" s="6"/>
      <c r="M29" s="8"/>
      <c r="N29" s="9"/>
      <c r="O29" s="210"/>
      <c r="P29" s="207"/>
      <c r="Q29" s="8"/>
      <c r="R29" s="8"/>
      <c r="S29" s="8"/>
    </row>
    <row r="30" spans="1:19" ht="19.5" customHeight="1">
      <c r="A30" s="5"/>
      <c r="B30" s="37"/>
      <c r="C30" s="6"/>
      <c r="D30" s="8"/>
      <c r="E30" s="200" t="s">
        <v>110</v>
      </c>
      <c r="F30" s="290">
        <f>F29*F27</f>
        <v>0</v>
      </c>
      <c r="G30" s="16" t="s">
        <v>29</v>
      </c>
      <c r="H30" s="8"/>
      <c r="I30" s="16" t="s">
        <v>84</v>
      </c>
      <c r="J30" s="8"/>
      <c r="K30" s="34"/>
      <c r="L30" s="175"/>
      <c r="M30" s="6"/>
      <c r="N30" s="137"/>
      <c r="O30" s="34"/>
      <c r="P30" s="8"/>
      <c r="Q30" s="8"/>
      <c r="R30" s="8"/>
      <c r="S30" s="8"/>
    </row>
    <row r="31" spans="1:19" ht="19.5" customHeight="1">
      <c r="A31" s="5"/>
      <c r="B31" s="37"/>
      <c r="C31" s="6"/>
      <c r="D31" s="6"/>
      <c r="E31" s="6"/>
      <c r="F31" s="38"/>
      <c r="G31" s="6"/>
      <c r="H31" s="101"/>
      <c r="I31" s="34" t="s">
        <v>48</v>
      </c>
      <c r="J31" s="52">
        <f>IF(F29&lt;=0,0,B28/1000+POWER(F29,2)/2/B8)</f>
        <v>0</v>
      </c>
      <c r="K31" s="11" t="s">
        <v>8</v>
      </c>
      <c r="L31" s="6"/>
      <c r="M31" s="6"/>
      <c r="N31" s="137"/>
      <c r="O31" s="210"/>
      <c r="P31" s="234"/>
      <c r="Q31" s="8"/>
      <c r="R31" s="8"/>
      <c r="S31" s="8"/>
    </row>
    <row r="32" spans="1:19" ht="19.5" customHeight="1">
      <c r="A32" s="91" t="s">
        <v>49</v>
      </c>
      <c r="B32" s="6"/>
      <c r="C32" s="6"/>
      <c r="D32" s="6"/>
      <c r="E32" s="191"/>
      <c r="F32" s="191"/>
      <c r="G32" s="191"/>
      <c r="H32" s="192"/>
      <c r="I32" s="191"/>
      <c r="J32" s="191"/>
      <c r="K32" s="191"/>
      <c r="L32" s="6"/>
      <c r="M32" s="6"/>
      <c r="N32" s="137"/>
      <c r="O32" s="210"/>
      <c r="P32" s="234"/>
      <c r="Q32" s="8"/>
      <c r="R32" s="8"/>
      <c r="S32" s="8"/>
    </row>
    <row r="33" spans="1:19" ht="45" customHeight="1">
      <c r="A33" s="40" t="s">
        <v>16</v>
      </c>
      <c r="B33" s="19" t="s">
        <v>17</v>
      </c>
      <c r="C33" s="19" t="s">
        <v>18</v>
      </c>
      <c r="D33" s="19" t="s">
        <v>19</v>
      </c>
      <c r="E33" s="117" t="s">
        <v>20</v>
      </c>
      <c r="F33" s="189" t="s">
        <v>21</v>
      </c>
      <c r="G33" s="117" t="s">
        <v>22</v>
      </c>
      <c r="H33" s="117" t="s">
        <v>90</v>
      </c>
      <c r="I33" s="189" t="s">
        <v>23</v>
      </c>
      <c r="J33" s="19" t="s">
        <v>24</v>
      </c>
      <c r="K33" s="20" t="s">
        <v>113</v>
      </c>
      <c r="L33" s="79"/>
      <c r="M33" s="6"/>
      <c r="N33" s="137"/>
      <c r="O33" s="210"/>
      <c r="P33" s="234"/>
      <c r="Q33" s="8"/>
      <c r="R33" s="8"/>
      <c r="S33" s="8"/>
    </row>
    <row r="34" spans="1:19" ht="19.5" customHeight="1">
      <c r="A34" s="41" t="s">
        <v>61</v>
      </c>
      <c r="B34" s="42" t="s">
        <v>5</v>
      </c>
      <c r="C34" s="42" t="s">
        <v>37</v>
      </c>
      <c r="D34" s="42" t="s">
        <v>38</v>
      </c>
      <c r="E34" s="42" t="s">
        <v>25</v>
      </c>
      <c r="F34" s="43" t="s">
        <v>72</v>
      </c>
      <c r="G34" s="42" t="s">
        <v>39</v>
      </c>
      <c r="H34" s="42" t="s">
        <v>91</v>
      </c>
      <c r="I34" s="43" t="s">
        <v>26</v>
      </c>
      <c r="J34" s="43" t="s">
        <v>40</v>
      </c>
      <c r="K34" s="108" t="s">
        <v>87</v>
      </c>
      <c r="L34" s="321" t="s">
        <v>76</v>
      </c>
      <c r="M34" s="322"/>
      <c r="N34" s="185"/>
      <c r="O34" s="210"/>
      <c r="P34" s="8"/>
      <c r="Q34" s="8"/>
      <c r="R34" s="8"/>
      <c r="S34" s="8"/>
    </row>
    <row r="35" spans="1:19" ht="19.5" customHeight="1">
      <c r="A35" s="21" t="s">
        <v>8</v>
      </c>
      <c r="B35" s="22" t="s">
        <v>36</v>
      </c>
      <c r="C35" s="22" t="s">
        <v>8</v>
      </c>
      <c r="D35" s="22" t="s">
        <v>8</v>
      </c>
      <c r="E35" s="22" t="s">
        <v>15</v>
      </c>
      <c r="F35" s="22" t="s">
        <v>29</v>
      </c>
      <c r="G35" s="22" t="s">
        <v>27</v>
      </c>
      <c r="H35" s="22" t="s">
        <v>8</v>
      </c>
      <c r="I35" s="22" t="s">
        <v>27</v>
      </c>
      <c r="J35" s="22" t="s">
        <v>8</v>
      </c>
      <c r="K35" s="107" t="s">
        <v>86</v>
      </c>
      <c r="L35" s="45"/>
      <c r="M35" s="6"/>
      <c r="N35" s="137"/>
      <c r="O35" s="210"/>
      <c r="P35" s="8"/>
      <c r="Q35" s="8"/>
      <c r="R35" s="8"/>
      <c r="S35" s="8"/>
    </row>
    <row r="36" spans="1:19" ht="19.5" customHeight="1">
      <c r="A36" s="203">
        <f>IF($B$28&lt;=0,0,A37+$J$19/3)</f>
        <v>0</v>
      </c>
      <c r="B36" s="120">
        <f>IF(A36&lt;=0,0,IF(OR($J$18&lt;=0,$J$19&lt;=0),0,($B$27/1000+$B$27/1000-(2*(A36-$A$39)*$J$19/$J$18))/2*(A36-$A$39)+$B$39))</f>
        <v>0</v>
      </c>
      <c r="C36" s="120">
        <f>IF(A36&lt;=0,0,IF(AND($J$18&lt;=0,$J$19&lt;=0),0,2*SQRT(POWER((A36-$A$39),2)+POWER((A36-$A$39)*$J$19/$J$18,2))+$C$39+IF(A36=B28/1000,B27/1000-2*J18)))</f>
        <v>0</v>
      </c>
      <c r="D36" s="120">
        <f t="shared" ref="D36:D54" si="0">IF(ISERROR(B36/C36),0,B36/C36)</f>
        <v>0</v>
      </c>
      <c r="E36" s="120">
        <f>IF(ISERROR(-2*LOG(2.51*$B$9/(4*D36*SQRT(8*$B$8*D36*$B$6/1000))+$B$7/(1000*(14.84*D36)))*SQRT(8*$B$8*D36*$B$6/1000)),0,-2*LOG(2.51*$B$9/(4*D36*SQRT(8*$B$8*D36*$B$6/1000))+$B$7/(1000*(14.84*D36)))*SQRT(8*$B$8*D36*$B$6/1000))</f>
        <v>0</v>
      </c>
      <c r="F36" s="129">
        <f t="shared" ref="F36:F53" si="1">E36*B36</f>
        <v>0</v>
      </c>
      <c r="G36" s="130">
        <f>IF(ISERROR(F36/$F$30),0,F36/$F$30)</f>
        <v>0</v>
      </c>
      <c r="H36" s="120">
        <f>IF(AND($J$18&lt;=0,$J$19&lt;=0),0,$B$27/1000-2*(A36-$A$39)*$J$19/$J$18)</f>
        <v>0</v>
      </c>
      <c r="I36" s="130">
        <f>IF(A36&lt;=0,0,E36/SQRT($B$8*B36/H36))</f>
        <v>0</v>
      </c>
      <c r="J36" s="120">
        <f>A36+POWER(E36,2)/(2*$B$8)</f>
        <v>0</v>
      </c>
      <c r="K36" s="213">
        <f>$B$8*$B$6*D36</f>
        <v>0</v>
      </c>
      <c r="L36" s="58"/>
      <c r="M36" s="333">
        <f>IF(AND(J19&lt;=0,J20&lt;=0),0,"Voute")</f>
        <v>0</v>
      </c>
      <c r="N36" s="302">
        <f>IF(AND(J19&lt;=0,J20&lt;=0),0,0.2)</f>
        <v>0</v>
      </c>
      <c r="O36" s="210"/>
      <c r="P36" s="8"/>
      <c r="Q36" s="8"/>
      <c r="R36" s="8"/>
      <c r="S36" s="8"/>
    </row>
    <row r="37" spans="1:19" ht="19.5" customHeight="1">
      <c r="A37" s="202">
        <f>IF($B$28&lt;=0,0,A38+$J$19/3)</f>
        <v>0</v>
      </c>
      <c r="B37" s="118">
        <f>IF(A37&lt;=0,0,IF(OR($J$18&lt;=0,$J$19&lt;=0),0,($B$27/1000+$B$27/1000-(2*(A37-$A$39)*$J$19/$J$18))/2*(A37-$A$39)+$B$39))</f>
        <v>0</v>
      </c>
      <c r="C37" s="118">
        <f>IF(A37&lt;=0,0,IF(AND($J$18&lt;=0,$J$19&lt;=0),0,2*SQRT(POWER((A37-$A$39),2)+POWER((A37-$A$39)*$J$19/$J$18,2))+$C$39))</f>
        <v>0</v>
      </c>
      <c r="D37" s="118">
        <f t="shared" si="0"/>
        <v>0</v>
      </c>
      <c r="E37" s="118">
        <f t="shared" ref="E37:E54" si="2">IF(ISERROR(-2*LOG(2.51*$B$9/(4*D37*SQRT(8*$B$8*D37*$B$6/1000))+$B$7/(1000*(14.84*D37)))*SQRT(8*$B$8*D37*$B$6/1000)),0,-2*LOG(2.51*$B$9/(4*D37*SQRT(8*$B$8*D37*$B$6/1000))+$B$7/(1000*(14.84*D37)))*SQRT(8*$B$8*D37*$B$6/1000))</f>
        <v>0</v>
      </c>
      <c r="F37" s="125">
        <f t="shared" si="1"/>
        <v>0</v>
      </c>
      <c r="G37" s="123">
        <f t="shared" ref="G37:G54" si="3">IF(ISERROR(F37/$F$30),0,F37/$F$30)</f>
        <v>0</v>
      </c>
      <c r="H37" s="118">
        <f>IF(AND($J$18&lt;=0,$J$19&lt;=0),0,$B$27/1000-2*(A37-$A$39)*$J$19/$J$18)</f>
        <v>0</v>
      </c>
      <c r="I37" s="123">
        <f>IF(A37&lt;=0,0,E37/SQRT($B$8*B37/H37))</f>
        <v>0</v>
      </c>
      <c r="J37" s="118">
        <f t="shared" ref="J37:J54" si="4">A37+POWER(E37,2)/(2*$B$8)</f>
        <v>0</v>
      </c>
      <c r="K37" s="141">
        <f t="shared" ref="K37:K54" si="5">$B$8*$B$6*D37</f>
        <v>0</v>
      </c>
      <c r="L37" s="58"/>
      <c r="M37" s="333"/>
      <c r="N37" s="302"/>
      <c r="O37" s="210"/>
      <c r="P37" s="8"/>
      <c r="Q37" s="8"/>
      <c r="R37" s="8"/>
      <c r="S37" s="8"/>
    </row>
    <row r="38" spans="1:19" ht="19.5" customHeight="1">
      <c r="A38" s="266">
        <f>IF(OR(J18&lt;=0,J19&lt;=0),0,IF($B$28&lt;=0,0,A39+$J$19/3))</f>
        <v>0</v>
      </c>
      <c r="B38" s="126">
        <f>IF(A38&lt;=0,0,IF(OR($J$18&lt;=0,$J$19&lt;=0),0,($B$27/1000+$B$27/1000-(2*(A38-$A$39)*$J$19/$J$18))/2*(A38-$A$39)+$B$39))</f>
        <v>0</v>
      </c>
      <c r="C38" s="126">
        <f>IF(A39&lt;=0,0,IF(AND($J$18&lt;=0,$J$19&lt;=0),0,2*SQRT(POWER((A38-$A$39),2)+POWER((A38-$A$39)*$J$19/$J$18,2))+$C$39))</f>
        <v>0</v>
      </c>
      <c r="D38" s="126">
        <f t="shared" si="0"/>
        <v>0</v>
      </c>
      <c r="E38" s="126">
        <f t="shared" si="2"/>
        <v>0</v>
      </c>
      <c r="F38" s="127">
        <f t="shared" si="1"/>
        <v>0</v>
      </c>
      <c r="G38" s="128">
        <f t="shared" si="3"/>
        <v>0</v>
      </c>
      <c r="H38" s="126">
        <f>IF(AND($J$18&lt;=0,$J$19&lt;=0),0,$B$27/1000-2*(A38-$A$39)*$J$19/$J$18)</f>
        <v>0</v>
      </c>
      <c r="I38" s="128">
        <f>IF(A38&lt;=0,0,E38/SQRT($B$8*B38/H38))</f>
        <v>0</v>
      </c>
      <c r="J38" s="126">
        <f t="shared" si="4"/>
        <v>0</v>
      </c>
      <c r="K38" s="131">
        <f t="shared" si="5"/>
        <v>0</v>
      </c>
      <c r="L38" s="58"/>
      <c r="M38" s="333"/>
      <c r="N38" s="302"/>
      <c r="O38" s="210"/>
      <c r="P38" s="8"/>
      <c r="Q38" s="8"/>
      <c r="R38" s="8"/>
      <c r="S38" s="8"/>
    </row>
    <row r="39" spans="1:19" ht="19.5" customHeight="1">
      <c r="A39" s="267">
        <f t="shared" ref="A39:A48" si="6">IF(OR($B$28&lt;=0,$B$27&lt;=0),0,($B$28/1000-$J$19-$J$22-$J$28)/10+A40)</f>
        <v>0</v>
      </c>
      <c r="B39" s="26">
        <f t="shared" ref="B39:B47" si="7">IF(A39&lt;=0,0,$B$49+(A39-$A$49)*$B$27/1000)</f>
        <v>0</v>
      </c>
      <c r="C39" s="237">
        <f>IF(A39&lt;=0,0,IF(A39&lt;=0,0,(A39-$A$49)*2+$C$49+IF(A39=B28/1000,B27/1000)))</f>
        <v>0</v>
      </c>
      <c r="D39" s="26">
        <f t="shared" si="0"/>
        <v>0</v>
      </c>
      <c r="E39" s="26">
        <f t="shared" si="2"/>
        <v>0</v>
      </c>
      <c r="F39" s="25">
        <f t="shared" si="1"/>
        <v>0</v>
      </c>
      <c r="G39" s="205">
        <f t="shared" si="3"/>
        <v>0</v>
      </c>
      <c r="H39" s="47">
        <f>IF(OR($B$27&lt;=0,$B$28&lt;=0),0,$B$27/1000)</f>
        <v>0</v>
      </c>
      <c r="I39" s="205">
        <f>IF(A39&lt;=0,0,E39/SQRT($B$8*B39/H39))</f>
        <v>0</v>
      </c>
      <c r="J39" s="26">
        <f t="shared" si="4"/>
        <v>0</v>
      </c>
      <c r="K39" s="240">
        <f t="shared" si="5"/>
        <v>0</v>
      </c>
      <c r="L39" s="58"/>
      <c r="M39" s="6"/>
      <c r="N39" s="137"/>
      <c r="O39" s="210"/>
      <c r="P39" s="142"/>
      <c r="Q39" s="142"/>
      <c r="R39" s="8"/>
      <c r="S39" s="8"/>
    </row>
    <row r="40" spans="1:19" ht="19.5" customHeight="1">
      <c r="A40" s="267">
        <f t="shared" si="6"/>
        <v>0</v>
      </c>
      <c r="B40" s="51">
        <f t="shared" si="7"/>
        <v>0</v>
      </c>
      <c r="C40" s="237">
        <f>IF(A40&lt;=0,0,IF(A40&lt;=0,0,(A40-$A$49)*2+$C$49))</f>
        <v>0</v>
      </c>
      <c r="D40" s="26">
        <f t="shared" si="0"/>
        <v>0</v>
      </c>
      <c r="E40" s="51">
        <f t="shared" si="2"/>
        <v>0</v>
      </c>
      <c r="F40" s="25">
        <f t="shared" si="1"/>
        <v>0</v>
      </c>
      <c r="G40" s="204">
        <f t="shared" si="3"/>
        <v>0</v>
      </c>
      <c r="H40" s="51">
        <f t="shared" ref="H40:H48" si="8">IF(OR($B$27&lt;=0,$B$28&lt;=0),0,$B$27/1000)</f>
        <v>0</v>
      </c>
      <c r="I40" s="205">
        <f t="shared" ref="I40:I54" si="9">IF(A40&lt;=0,0,E40/SQRT($B$8*B40/H40))</f>
        <v>0</v>
      </c>
      <c r="J40" s="51">
        <f t="shared" si="4"/>
        <v>0</v>
      </c>
      <c r="K40" s="239">
        <f t="shared" si="5"/>
        <v>0</v>
      </c>
      <c r="L40" s="58"/>
      <c r="M40" s="334" t="s">
        <v>124</v>
      </c>
      <c r="N40" s="137"/>
      <c r="O40" s="210"/>
      <c r="P40" s="8"/>
      <c r="Q40" s="8"/>
      <c r="R40" s="8"/>
      <c r="S40" s="8"/>
    </row>
    <row r="41" spans="1:19" ht="19.5" customHeight="1">
      <c r="A41" s="267">
        <f t="shared" si="6"/>
        <v>0</v>
      </c>
      <c r="B41" s="51">
        <f t="shared" si="7"/>
        <v>0</v>
      </c>
      <c r="C41" s="237">
        <f t="shared" ref="C41:C48" si="10">IF(A41&lt;=0,0,IF(A41&lt;=0,0,(A41-$A$49)*2+$C$49))</f>
        <v>0</v>
      </c>
      <c r="D41" s="26">
        <f t="shared" si="0"/>
        <v>0</v>
      </c>
      <c r="E41" s="51">
        <f>IF(ISERROR(-2*LOG(2.51*$B$9/(4*D41*SQRT(8*$B$8*D41*$B$6/1000))+$B$7/(1000*(14.84*D41)))*SQRT(8*$B$8*D41*$B$6/1000)),0,-2*LOG(2.51*$B$9/(4*D41*SQRT(8*$B$8*D41*$B$6/1000))+$B$7/(1000*(14.84*D41)))*SQRT(8*$B$8*D41*$B$6/1000))</f>
        <v>0</v>
      </c>
      <c r="F41" s="25">
        <f t="shared" si="1"/>
        <v>0</v>
      </c>
      <c r="G41" s="204">
        <f t="shared" si="3"/>
        <v>0</v>
      </c>
      <c r="H41" s="51">
        <f t="shared" si="8"/>
        <v>0</v>
      </c>
      <c r="I41" s="205">
        <f t="shared" si="9"/>
        <v>0</v>
      </c>
      <c r="J41" s="51">
        <f t="shared" si="4"/>
        <v>0</v>
      </c>
      <c r="K41" s="239">
        <f t="shared" si="5"/>
        <v>0</v>
      </c>
      <c r="L41" s="58"/>
      <c r="M41" s="334"/>
      <c r="N41" s="137"/>
      <c r="O41" s="210"/>
      <c r="P41" s="8"/>
      <c r="Q41" s="8"/>
      <c r="R41" s="8"/>
      <c r="S41" s="8"/>
    </row>
    <row r="42" spans="1:19" ht="19.5" customHeight="1">
      <c r="A42" s="267">
        <f t="shared" si="6"/>
        <v>0</v>
      </c>
      <c r="B42" s="51">
        <f t="shared" si="7"/>
        <v>0</v>
      </c>
      <c r="C42" s="237">
        <f t="shared" si="10"/>
        <v>0</v>
      </c>
      <c r="D42" s="26">
        <f t="shared" si="0"/>
        <v>0</v>
      </c>
      <c r="E42" s="51">
        <f t="shared" si="2"/>
        <v>0</v>
      </c>
      <c r="F42" s="25">
        <f t="shared" si="1"/>
        <v>0</v>
      </c>
      <c r="G42" s="204">
        <f t="shared" si="3"/>
        <v>0</v>
      </c>
      <c r="H42" s="51">
        <f t="shared" si="8"/>
        <v>0</v>
      </c>
      <c r="I42" s="205">
        <f t="shared" si="9"/>
        <v>0</v>
      </c>
      <c r="J42" s="51">
        <f t="shared" si="4"/>
        <v>0</v>
      </c>
      <c r="K42" s="239">
        <f t="shared" si="5"/>
        <v>0</v>
      </c>
      <c r="L42" s="58"/>
      <c r="M42" s="334"/>
      <c r="N42" s="302">
        <f>IF(B28&lt;=0,0,B28/1000-J19-J22-J28)</f>
        <v>0</v>
      </c>
      <c r="O42" s="210"/>
      <c r="P42" s="8"/>
      <c r="Q42" s="8"/>
      <c r="R42" s="8"/>
      <c r="S42" s="8"/>
    </row>
    <row r="43" spans="1:19" ht="19.5" customHeight="1">
      <c r="A43" s="267">
        <f t="shared" si="6"/>
        <v>0</v>
      </c>
      <c r="B43" s="51">
        <f t="shared" si="7"/>
        <v>0</v>
      </c>
      <c r="C43" s="237">
        <f t="shared" si="10"/>
        <v>0</v>
      </c>
      <c r="D43" s="26">
        <f t="shared" si="0"/>
        <v>0</v>
      </c>
      <c r="E43" s="51">
        <f t="shared" si="2"/>
        <v>0</v>
      </c>
      <c r="F43" s="25">
        <f t="shared" si="1"/>
        <v>0</v>
      </c>
      <c r="G43" s="204">
        <f t="shared" si="3"/>
        <v>0</v>
      </c>
      <c r="H43" s="51">
        <f t="shared" si="8"/>
        <v>0</v>
      </c>
      <c r="I43" s="205">
        <f t="shared" si="9"/>
        <v>0</v>
      </c>
      <c r="J43" s="51">
        <f t="shared" si="4"/>
        <v>0</v>
      </c>
      <c r="K43" s="239">
        <f t="shared" si="5"/>
        <v>0</v>
      </c>
      <c r="L43" s="58"/>
      <c r="M43" s="334"/>
      <c r="N43" s="302"/>
      <c r="O43" s="210"/>
      <c r="P43" s="8"/>
      <c r="Q43" s="8"/>
      <c r="R43" s="8"/>
      <c r="S43" s="8"/>
    </row>
    <row r="44" spans="1:19" ht="19.5" customHeight="1">
      <c r="A44" s="267">
        <f t="shared" si="6"/>
        <v>0</v>
      </c>
      <c r="B44" s="51">
        <f>IF(A44&lt;=0,0,$B$49+(A44-$A$49)*$B$27/1000)</f>
        <v>0</v>
      </c>
      <c r="C44" s="237">
        <f t="shared" si="10"/>
        <v>0</v>
      </c>
      <c r="D44" s="26">
        <f t="shared" si="0"/>
        <v>0</v>
      </c>
      <c r="E44" s="51">
        <f t="shared" si="2"/>
        <v>0</v>
      </c>
      <c r="F44" s="25">
        <f t="shared" si="1"/>
        <v>0</v>
      </c>
      <c r="G44" s="204">
        <f t="shared" si="3"/>
        <v>0</v>
      </c>
      <c r="H44" s="51">
        <f t="shared" si="8"/>
        <v>0</v>
      </c>
      <c r="I44" s="205">
        <f t="shared" si="9"/>
        <v>0</v>
      </c>
      <c r="J44" s="51">
        <f t="shared" si="4"/>
        <v>0</v>
      </c>
      <c r="K44" s="239">
        <f t="shared" si="5"/>
        <v>0</v>
      </c>
      <c r="L44" s="58"/>
      <c r="M44" s="334"/>
      <c r="N44" s="302"/>
      <c r="O44" s="210"/>
      <c r="P44" s="8"/>
      <c r="Q44" s="8"/>
      <c r="R44" s="8"/>
      <c r="S44" s="8"/>
    </row>
    <row r="45" spans="1:19" ht="19.5" customHeight="1">
      <c r="A45" s="267">
        <f t="shared" si="6"/>
        <v>0</v>
      </c>
      <c r="B45" s="51">
        <f t="shared" si="7"/>
        <v>0</v>
      </c>
      <c r="C45" s="237">
        <f t="shared" si="10"/>
        <v>0</v>
      </c>
      <c r="D45" s="26">
        <f t="shared" si="0"/>
        <v>0</v>
      </c>
      <c r="E45" s="51">
        <f t="shared" si="2"/>
        <v>0</v>
      </c>
      <c r="F45" s="25">
        <f t="shared" si="1"/>
        <v>0</v>
      </c>
      <c r="G45" s="204">
        <f t="shared" si="3"/>
        <v>0</v>
      </c>
      <c r="H45" s="51">
        <f t="shared" si="8"/>
        <v>0</v>
      </c>
      <c r="I45" s="205">
        <f t="shared" si="9"/>
        <v>0</v>
      </c>
      <c r="J45" s="51">
        <f t="shared" si="4"/>
        <v>0</v>
      </c>
      <c r="K45" s="239">
        <f t="shared" si="5"/>
        <v>0</v>
      </c>
      <c r="L45" s="58"/>
      <c r="M45" s="334"/>
      <c r="N45" s="302"/>
      <c r="O45" s="210"/>
      <c r="P45" s="8"/>
      <c r="Q45" s="8"/>
      <c r="R45" s="8"/>
      <c r="S45" s="8"/>
    </row>
    <row r="46" spans="1:19" ht="19.5" customHeight="1">
      <c r="A46" s="267">
        <f t="shared" si="6"/>
        <v>0</v>
      </c>
      <c r="B46" s="51">
        <f t="shared" si="7"/>
        <v>0</v>
      </c>
      <c r="C46" s="237">
        <f t="shared" si="10"/>
        <v>0</v>
      </c>
      <c r="D46" s="26">
        <f t="shared" si="0"/>
        <v>0</v>
      </c>
      <c r="E46" s="51">
        <f t="shared" si="2"/>
        <v>0</v>
      </c>
      <c r="F46" s="25">
        <f t="shared" si="1"/>
        <v>0</v>
      </c>
      <c r="G46" s="204">
        <f t="shared" si="3"/>
        <v>0</v>
      </c>
      <c r="H46" s="51">
        <f t="shared" si="8"/>
        <v>0</v>
      </c>
      <c r="I46" s="205">
        <f t="shared" si="9"/>
        <v>0</v>
      </c>
      <c r="J46" s="51">
        <f t="shared" si="4"/>
        <v>0</v>
      </c>
      <c r="K46" s="239">
        <f t="shared" si="5"/>
        <v>0</v>
      </c>
      <c r="L46" s="58"/>
      <c r="M46" s="334"/>
      <c r="N46" s="137"/>
      <c r="O46" s="210"/>
      <c r="P46" s="8"/>
      <c r="Q46" s="8"/>
      <c r="R46" s="8"/>
      <c r="S46" s="8"/>
    </row>
    <row r="47" spans="1:19" ht="19.5" customHeight="1">
      <c r="A47" s="267">
        <f t="shared" si="6"/>
        <v>0</v>
      </c>
      <c r="B47" s="51">
        <f t="shared" si="7"/>
        <v>0</v>
      </c>
      <c r="C47" s="237">
        <f t="shared" si="10"/>
        <v>0</v>
      </c>
      <c r="D47" s="26">
        <f t="shared" si="0"/>
        <v>0</v>
      </c>
      <c r="E47" s="51">
        <f t="shared" si="2"/>
        <v>0</v>
      </c>
      <c r="F47" s="25">
        <f t="shared" si="1"/>
        <v>0</v>
      </c>
      <c r="G47" s="204">
        <f t="shared" si="3"/>
        <v>0</v>
      </c>
      <c r="H47" s="51">
        <f t="shared" si="8"/>
        <v>0</v>
      </c>
      <c r="I47" s="205">
        <f t="shared" si="9"/>
        <v>0</v>
      </c>
      <c r="J47" s="51">
        <f t="shared" si="4"/>
        <v>0</v>
      </c>
      <c r="K47" s="239">
        <f t="shared" si="5"/>
        <v>0</v>
      </c>
      <c r="L47" s="58"/>
      <c r="M47" s="334"/>
      <c r="N47" s="186"/>
      <c r="O47" s="231"/>
      <c r="P47" s="142"/>
      <c r="Q47" s="142"/>
      <c r="R47" s="8"/>
      <c r="S47" s="8"/>
    </row>
    <row r="48" spans="1:19" ht="19.5" customHeight="1">
      <c r="A48" s="267">
        <f t="shared" si="6"/>
        <v>0</v>
      </c>
      <c r="B48" s="237">
        <f>IF(A48&lt;=0,0,$B$49+(A48-$A$49)*$B$27/1000)</f>
        <v>0</v>
      </c>
      <c r="C48" s="237">
        <f t="shared" si="10"/>
        <v>0</v>
      </c>
      <c r="D48" s="237">
        <f t="shared" si="0"/>
        <v>0</v>
      </c>
      <c r="E48" s="237">
        <f t="shared" si="2"/>
        <v>0</v>
      </c>
      <c r="F48" s="85">
        <f t="shared" si="1"/>
        <v>0</v>
      </c>
      <c r="G48" s="238">
        <f t="shared" si="3"/>
        <v>0</v>
      </c>
      <c r="H48" s="28">
        <f t="shared" si="8"/>
        <v>0</v>
      </c>
      <c r="I48" s="206">
        <f t="shared" si="9"/>
        <v>0</v>
      </c>
      <c r="J48" s="237">
        <f t="shared" si="4"/>
        <v>0</v>
      </c>
      <c r="K48" s="241">
        <f t="shared" si="5"/>
        <v>0</v>
      </c>
      <c r="L48" s="58"/>
      <c r="M48" s="6"/>
      <c r="N48" s="137"/>
      <c r="O48" s="210"/>
      <c r="P48" s="8"/>
      <c r="Q48" s="8"/>
      <c r="R48" s="8"/>
      <c r="S48" s="8"/>
    </row>
    <row r="49" spans="1:24" ht="19.5" customHeight="1">
      <c r="A49" s="203">
        <f>IF(OR($B$28&lt;=0,B27&lt;=0),0,$J$28/3+A50)</f>
        <v>0</v>
      </c>
      <c r="B49" s="120">
        <f>IF(A49&lt;=0,0,(2*(A49-$A$52)*$J$25+2*$J$23)/2*(A49-$A$52)+$B$52)</f>
        <v>0</v>
      </c>
      <c r="C49" s="120">
        <f>IF(A49&lt;=0,0,2*SQRT(POWER((A49-$A$52),2)+POWER(((A49-$A$52)*$J$25),2))+$C$52)</f>
        <v>0</v>
      </c>
      <c r="D49" s="120">
        <f t="shared" si="0"/>
        <v>0</v>
      </c>
      <c r="E49" s="120">
        <f t="shared" si="2"/>
        <v>0</v>
      </c>
      <c r="F49" s="129">
        <f t="shared" si="1"/>
        <v>0</v>
      </c>
      <c r="G49" s="130">
        <f t="shared" si="3"/>
        <v>0</v>
      </c>
      <c r="H49" s="120">
        <f>2*(A49-$A$52)*$J$25+$J$23</f>
        <v>0</v>
      </c>
      <c r="I49" s="130">
        <f>IF(A49&lt;=0,0,E49/SQRT($B$8*B49/H49))</f>
        <v>0</v>
      </c>
      <c r="J49" s="120">
        <f t="shared" si="4"/>
        <v>0</v>
      </c>
      <c r="K49" s="124">
        <f t="shared" si="5"/>
        <v>0</v>
      </c>
      <c r="L49" s="58"/>
      <c r="M49" s="6"/>
      <c r="N49" s="302">
        <f>IF(B27&lt;=0,0,J28)</f>
        <v>0</v>
      </c>
      <c r="O49" s="78"/>
      <c r="P49" s="45"/>
      <c r="Q49" s="45"/>
      <c r="R49" s="8"/>
      <c r="S49" s="8"/>
    </row>
    <row r="50" spans="1:24" ht="19.5" customHeight="1">
      <c r="A50" s="202">
        <f>IF(OR($B$28&lt;=0,B27&lt;=0),0,$J$28/3+A51)</f>
        <v>0</v>
      </c>
      <c r="B50" s="118">
        <f>IF(A50&lt;=0,0,(2*(A50-$A$52)*$J$25+2*$J$23)/2*(A50-$A$52)+$B$52)</f>
        <v>0</v>
      </c>
      <c r="C50" s="118">
        <f>IF(A50&lt;=0,0,2*SQRT(POWER((A50-$A$52),2)+POWER(((A50-$A$52)*$J$25),2))+$C$52)</f>
        <v>0</v>
      </c>
      <c r="D50" s="118">
        <f t="shared" si="0"/>
        <v>0</v>
      </c>
      <c r="E50" s="118">
        <f t="shared" si="2"/>
        <v>0</v>
      </c>
      <c r="F50" s="125">
        <f t="shared" si="1"/>
        <v>0</v>
      </c>
      <c r="G50" s="123">
        <f t="shared" si="3"/>
        <v>0</v>
      </c>
      <c r="H50" s="118">
        <f>2*(A50-$A$52)*$J$25+$J$23</f>
        <v>0</v>
      </c>
      <c r="I50" s="122">
        <f t="shared" si="9"/>
        <v>0</v>
      </c>
      <c r="J50" s="118">
        <f t="shared" si="4"/>
        <v>0</v>
      </c>
      <c r="K50" s="141">
        <f t="shared" si="5"/>
        <v>0</v>
      </c>
      <c r="L50" s="58"/>
      <c r="M50" s="176" t="s">
        <v>78</v>
      </c>
      <c r="N50" s="302"/>
      <c r="O50" s="34"/>
      <c r="P50" s="6"/>
      <c r="Q50" s="6"/>
      <c r="R50" s="8"/>
      <c r="S50" s="8"/>
    </row>
    <row r="51" spans="1:24" ht="19.5" customHeight="1">
      <c r="A51" s="266">
        <f>IF(OR($B$28&lt;=0,B27&lt;=0),0,$J$28/3+A52)</f>
        <v>0</v>
      </c>
      <c r="B51" s="126">
        <f>IF(A51&lt;=0,0,(2*(A51-$A$52)*$J$25+2*$J$23)/2*(A51-$A$52)+$B$52)</f>
        <v>0</v>
      </c>
      <c r="C51" s="126">
        <f>IF(A51&lt;=0,0,2*SQRT(POWER((A51-$A$52),2)+POWER(((A51-$A$52)*$J$25),2))+$C$52)</f>
        <v>0</v>
      </c>
      <c r="D51" s="126">
        <f t="shared" si="0"/>
        <v>0</v>
      </c>
      <c r="E51" s="126">
        <f t="shared" si="2"/>
        <v>0</v>
      </c>
      <c r="F51" s="127">
        <f t="shared" si="1"/>
        <v>0</v>
      </c>
      <c r="G51" s="128">
        <f t="shared" si="3"/>
        <v>0</v>
      </c>
      <c r="H51" s="126">
        <f>2*(A51-$A$52)*$J$25+$J$23</f>
        <v>0</v>
      </c>
      <c r="I51" s="228">
        <f t="shared" si="9"/>
        <v>0</v>
      </c>
      <c r="J51" s="126">
        <f t="shared" si="4"/>
        <v>0</v>
      </c>
      <c r="K51" s="131">
        <f t="shared" si="5"/>
        <v>0</v>
      </c>
      <c r="L51" s="58"/>
      <c r="M51" s="6"/>
      <c r="N51" s="302"/>
      <c r="O51" s="34"/>
      <c r="P51" s="60"/>
      <c r="Q51" s="6"/>
      <c r="R51" s="8"/>
      <c r="S51" s="8"/>
    </row>
    <row r="52" spans="1:24" ht="19.5" customHeight="1">
      <c r="A52" s="201">
        <f>IF(B28&lt;=0,0,$J$22/3+A53)</f>
        <v>0</v>
      </c>
      <c r="B52" s="47">
        <f>IF(A52&lt;=0,0,IF(A52&lt;=$J$21,POWER(J21,2)/2*(2*ACOS(1-A52/J21)-SIN(2*ACOS(1-A52/J21))),IF(A52&gt;$J$21,PI()*POWER($J$21,2)/2+(A52-$J$21)*$J$23)))</f>
        <v>0</v>
      </c>
      <c r="C52" s="47">
        <f>IF(A52&lt;=0,0,IF(A52&lt;=$J$21,$J$21*2*ACOS(1-A52/$J$21),IF(A52&gt;$J$21,$J$21*PI()+2*(A52-$J$21))))</f>
        <v>0</v>
      </c>
      <c r="D52" s="47">
        <f t="shared" si="0"/>
        <v>0</v>
      </c>
      <c r="E52" s="47">
        <f t="shared" si="2"/>
        <v>0</v>
      </c>
      <c r="F52" s="48">
        <f t="shared" si="1"/>
        <v>0</v>
      </c>
      <c r="G52" s="214">
        <f t="shared" si="3"/>
        <v>0</v>
      </c>
      <c r="H52" s="47">
        <f>IF(A52&lt;=0,0,IF(A52&lt;=$J$21,2*$J$21*SIN(2*ACOS(1-A52/$J$21)*180/PI()/2*PI()/180),IF(A52&gt;$J$21,2*$J$21)))</f>
        <v>0</v>
      </c>
      <c r="I52" s="214">
        <f t="shared" si="9"/>
        <v>0</v>
      </c>
      <c r="J52" s="47">
        <f t="shared" si="4"/>
        <v>0</v>
      </c>
      <c r="K52" s="242">
        <f t="shared" si="5"/>
        <v>0</v>
      </c>
      <c r="L52" s="58"/>
      <c r="M52" s="94"/>
      <c r="N52" s="302">
        <f>IF(B27&lt;=0,0,J22)</f>
        <v>0</v>
      </c>
      <c r="O52" s="34"/>
      <c r="P52" s="232"/>
      <c r="Q52" s="232"/>
      <c r="R52" s="8"/>
      <c r="S52" s="8"/>
      <c r="T52" s="96"/>
    </row>
    <row r="53" spans="1:24" ht="19.5" customHeight="1">
      <c r="A53" s="268">
        <f>IF(B28&lt;=0,0,$J$22/3+A54)</f>
        <v>0</v>
      </c>
      <c r="B53" s="51">
        <f>IF(A53&lt;=0,0,IF(A53&lt;=$J$21,POWER($J$21,2)/2*(2*ACOS(1-A53/$J$21)-SIN(2*ACOS(1-A53/$J$21)*180/PI())*PI()/180),IF(A53&gt;$J$21,PI()*POWER($J$21,2)/2+(A53-$J$21)*$J$23)))</f>
        <v>0</v>
      </c>
      <c r="C53" s="51">
        <f>IF(A53&lt;=0,0,IF(A53&lt;=$J$21,$J$21*2*ACOS(1-A53/$J$21),IF(A53&gt;$J$21,$J$21*PI()+2*(A53-$J$21))))</f>
        <v>0</v>
      </c>
      <c r="D53" s="51">
        <f t="shared" si="0"/>
        <v>0</v>
      </c>
      <c r="E53" s="51">
        <f t="shared" si="2"/>
        <v>0</v>
      </c>
      <c r="F53" s="52">
        <f t="shared" si="1"/>
        <v>0</v>
      </c>
      <c r="G53" s="204">
        <f t="shared" si="3"/>
        <v>0</v>
      </c>
      <c r="H53" s="51">
        <f>IF(A53&lt;=0,0,IF(A53&lt;=$J$21,2*$J$21*SIN(2*ACOS(1-A53/$J$21)*180/PI()/2*PI()/180),IF(A53&gt;$J$21,2*$J$21)))</f>
        <v>0</v>
      </c>
      <c r="I53" s="204">
        <f t="shared" si="9"/>
        <v>0</v>
      </c>
      <c r="J53" s="51">
        <f t="shared" si="4"/>
        <v>0</v>
      </c>
      <c r="K53" s="239">
        <f t="shared" si="5"/>
        <v>0</v>
      </c>
      <c r="L53" s="58"/>
      <c r="M53" s="96" t="s">
        <v>77</v>
      </c>
      <c r="N53" s="302"/>
      <c r="O53" s="34"/>
      <c r="P53" s="232"/>
      <c r="Q53" s="232"/>
      <c r="R53" s="8"/>
      <c r="S53" s="8"/>
    </row>
    <row r="54" spans="1:24" ht="19.5" customHeight="1">
      <c r="A54" s="269">
        <f>IF(B28&lt;=0,0,$J$22/3)</f>
        <v>0</v>
      </c>
      <c r="B54" s="28">
        <f>IF(A54&lt;=0,0,IF(A54&lt;=$J$21,POWER($J$21,2)/2*(2*ACOS(1-A54/$J$21)-SIN(2*ACOS(1-A54/$J$21)*180/PI())*PI()/180),IF(A54&gt;$J$21,PI()*POWER($J$21,2)/2+(A54-$J$21)*$J$23)))</f>
        <v>0</v>
      </c>
      <c r="C54" s="28">
        <f>IF(A54&lt;=0,0,IF(A54&lt;=$J$21,$J$21*2*ACOS(1-A54/$J$21),IF(A54&gt;$J$21,$J$21*PI()+2*(A54-$J$21))))</f>
        <v>0</v>
      </c>
      <c r="D54" s="28">
        <f t="shared" si="0"/>
        <v>0</v>
      </c>
      <c r="E54" s="28">
        <f t="shared" si="2"/>
        <v>0</v>
      </c>
      <c r="F54" s="27">
        <f>E54*B54</f>
        <v>0</v>
      </c>
      <c r="G54" s="206">
        <f t="shared" si="3"/>
        <v>0</v>
      </c>
      <c r="H54" s="28">
        <f>IF(A54&lt;=0,0,IF(A54&lt;=$J$21,2*$J$21*SIN(2*ACOS(1-A54/$J$21)*180/PI()/2*PI()/180),IF(A54&gt;$J$21,2*$J$21)))</f>
        <v>0</v>
      </c>
      <c r="I54" s="206">
        <f t="shared" si="9"/>
        <v>0</v>
      </c>
      <c r="J54" s="28">
        <f t="shared" si="4"/>
        <v>0</v>
      </c>
      <c r="K54" s="241">
        <f t="shared" si="5"/>
        <v>0</v>
      </c>
      <c r="L54" s="58"/>
      <c r="M54" s="6"/>
      <c r="N54" s="302"/>
      <c r="O54" s="34"/>
      <c r="P54" s="232"/>
      <c r="Q54" s="232"/>
      <c r="R54" s="8"/>
      <c r="S54" s="8"/>
    </row>
    <row r="55" spans="1:24" ht="12" customHeight="1">
      <c r="A55" s="57"/>
      <c r="B55" s="58"/>
      <c r="C55" s="58"/>
      <c r="D55" s="58"/>
      <c r="E55" s="58"/>
      <c r="F55" s="58"/>
      <c r="G55" s="59"/>
      <c r="H55" s="59"/>
      <c r="I55" s="59"/>
      <c r="J55" s="59"/>
      <c r="K55" s="59">
        <f>9.81*$B$6*D55</f>
        <v>0</v>
      </c>
      <c r="L55" s="58"/>
      <c r="M55" s="6"/>
      <c r="N55" s="137"/>
      <c r="O55" s="210"/>
      <c r="P55" s="8"/>
      <c r="Q55" s="8"/>
      <c r="R55" s="8"/>
      <c r="S55" s="8"/>
      <c r="V55" s="8"/>
      <c r="W55" s="8"/>
      <c r="X55" s="8"/>
    </row>
    <row r="56" spans="1:24" ht="20.100000000000001" customHeight="1">
      <c r="A56" s="299" t="s">
        <v>131</v>
      </c>
      <c r="B56" s="58"/>
      <c r="C56" s="58"/>
      <c r="D56" s="58"/>
      <c r="E56" s="58"/>
      <c r="F56" s="58"/>
      <c r="G56" s="59"/>
      <c r="H56" s="59"/>
      <c r="I56" s="59"/>
      <c r="J56" s="59"/>
      <c r="K56" s="59"/>
      <c r="L56" s="58"/>
      <c r="M56" s="6"/>
      <c r="N56" s="137"/>
      <c r="O56" s="210"/>
      <c r="P56" s="8"/>
      <c r="Q56" s="8"/>
      <c r="R56" s="8"/>
      <c r="S56" s="8"/>
      <c r="V56" s="8"/>
      <c r="W56" s="8"/>
      <c r="X56" s="8"/>
    </row>
    <row r="57" spans="1:24" ht="20.100000000000001" customHeight="1">
      <c r="A57" s="313" t="s">
        <v>73</v>
      </c>
      <c r="B57" s="314"/>
      <c r="C57" s="314"/>
      <c r="D57" s="60"/>
      <c r="E57" s="60"/>
      <c r="F57" s="60"/>
      <c r="G57" s="14"/>
      <c r="H57" s="11"/>
      <c r="I57" s="11"/>
      <c r="J57" s="59"/>
      <c r="K57" s="59">
        <f>9.81*$B$6*D57</f>
        <v>0</v>
      </c>
      <c r="L57" s="58"/>
      <c r="M57" s="92"/>
      <c r="N57" s="137"/>
      <c r="O57" s="210"/>
      <c r="P57" s="8"/>
      <c r="Q57" s="8"/>
      <c r="R57" s="8"/>
      <c r="S57" s="8"/>
      <c r="V57" s="8"/>
      <c r="W57" s="8"/>
      <c r="X57" s="8"/>
    </row>
    <row r="58" spans="1:24" ht="19.5" customHeight="1">
      <c r="A58" s="132"/>
      <c r="B58" s="81">
        <f>IF(OR(B27&lt;=0,B28&lt;=0,A58&lt;=0),0,IF(A58&lt;=$J$21,POWER($J$21,2)/2*(2*ACOS(1-A58/$J$21)-SIN(2*ACOS(1-A53/$J$21)*180/PI())*PI()/180),IF(AND(A58&gt;$J$21,A58&lt;=$A$52),PI()*POWER($J$21,2)/2+(A58-$J$21)*$J$23,IF(AND(A58&gt;$A$52,A58&lt;=$A$49),(2*(A58-$A$52)*$J$25+2*$J$23)/2*(A58-$A$52)+$B$52,IF(AND(A58&gt;$A$49,A58&lt;=$A$39),$B$49+(A58-$A$49)*$B$27/1000,IF(AND(A58&gt;$A$39,A58&lt;=$A$36),($B$27/1000+$B$27/1000-(2*(A58-$A$39)*$J$19/$J$18))/2*(A58-$A$39)+$B$39))))))</f>
        <v>0</v>
      </c>
      <c r="C58" s="81">
        <f>IF(OR(B27&lt;=0,B28&lt;=0,A58&lt;=0),0,IF(A58&lt;=$J$21,J21*2*ACOS(1-J22/J21),IF(AND(A58&gt;$J$21,A58&lt;=$A$52),$J$21*PI()+2*(A58-$J$21),IF(AND(A58&gt;$A$52,A58&lt;=$A$49),2*SQRT(POWER((A58-$A$52),2)+POWER(((A58-$A$52)*$J$25),2))+$C$52,IF(AND(A58&gt;$A$49,A58&lt;=$A$39),(A58-$A$49)*2+$C$49,IF(AND(A58&gt;$A$39,A58&lt;=$A$36),2*SQRT(POWER((A58-$A$39),2)+POWER((A58-$A$39)*$J$19/$J$18,2))+$C$39+IF(A58=$B$28/1000,$B$27/1000-2*$J$18)))))))</f>
        <v>0</v>
      </c>
      <c r="D58" s="81">
        <f>IF(ISERROR(B58/C58),0,B58/C58)</f>
        <v>0</v>
      </c>
      <c r="E58" s="81">
        <f>IF(ISERROR(-2*LOG(2.51*$B$9/(4*D58*SQRT(8*$B$8*D58*$B$6/1000))+$B$7/(1000*(14.84*D58)))*SQRT(8*$B$8*D58*$B$6/1000)),0,-2*LOG(2.51*$B$9/(4*D58*SQRT(8*$B$8*D58*$B$6/1000))+$B$7/(1000*(14.84*D58)))*SQRT(8*$B$8*D58*$B$6/1000))</f>
        <v>0</v>
      </c>
      <c r="F58" s="82">
        <f>E58*B58</f>
        <v>0</v>
      </c>
      <c r="G58" s="208">
        <f>IF(ISERROR(F58/$F$30),0,F58/$F$30)</f>
        <v>0</v>
      </c>
      <c r="H58" s="81">
        <f>IF(OR(B27&lt;=0,B28&lt;=0,A58&lt;=0),0,IF(A58&lt;=$J$21,2*$J$21*SIN(2*ACOS(1-A58/$J$21)*180/PI()/2*PI()/180),IF(AND(A58&gt;$J$21,A58&lt;=$A$52),2*$J$21,IF(AND(A58&gt;$A$52,A58&lt;=$A$49),2*(A58-$A$52)*$J$25+$J$23,IF(AND(A58&gt;$A$49,A58&lt;=$A$39),$B$27/1000,IF(AND(A58&gt;$A$39,A58&lt;=$A$36),$B$27/1000-2*(A58-$A$39)*$J$19/$J$18))))))</f>
        <v>0</v>
      </c>
      <c r="I58" s="208">
        <f>IF(OR(B27&lt;=0,B28&lt;=0,A58&lt;=0),0,E58/SQRT($B$8*B58/H58))</f>
        <v>0</v>
      </c>
      <c r="J58" s="81">
        <f>IF(OR(B27&lt;=0,B28&lt;=0,A58&lt;=0),0,A58+POWER(E58,2)/(2*$B$8))</f>
        <v>0</v>
      </c>
      <c r="K58" s="115">
        <f>9.81*$B$6*D58</f>
        <v>0</v>
      </c>
      <c r="L58" s="14"/>
      <c r="M58" s="7"/>
      <c r="N58" s="137"/>
      <c r="O58" s="210"/>
      <c r="P58" s="14"/>
      <c r="Q58" s="14"/>
      <c r="R58" s="14"/>
      <c r="S58" s="14"/>
      <c r="T58" s="14"/>
      <c r="U58" s="8"/>
      <c r="V58" s="8"/>
      <c r="W58" s="8"/>
      <c r="X58" s="8"/>
    </row>
    <row r="59" spans="1:24" ht="20.100000000000001" customHeight="1">
      <c r="A59" s="303" t="s">
        <v>74</v>
      </c>
      <c r="B59" s="304"/>
      <c r="C59" s="304"/>
      <c r="D59" s="304"/>
      <c r="E59" s="244"/>
      <c r="F59" s="244"/>
      <c r="G59" s="14"/>
      <c r="H59" s="84"/>
      <c r="I59" s="84"/>
      <c r="J59" s="31"/>
      <c r="K59" s="31"/>
      <c r="L59" s="14"/>
      <c r="M59" s="7"/>
      <c r="N59" s="137"/>
      <c r="O59" s="210"/>
      <c r="P59" s="14"/>
      <c r="Q59" s="14"/>
      <c r="R59" s="14"/>
      <c r="S59" s="14"/>
      <c r="T59" s="14"/>
      <c r="U59" s="8"/>
      <c r="V59" s="8"/>
      <c r="W59" s="8"/>
      <c r="X59" s="8"/>
    </row>
    <row r="60" spans="1:24" ht="19.5" customHeight="1">
      <c r="A60" s="132"/>
      <c r="B60" s="283">
        <f>IF(OR(B27&lt;=0,B28&lt;=0,A60&lt;=0),0,IF(A60&lt;=$J$21,POWER($J$21,2)/2*(2*ACOS(1-A60/$J$21)-SIN(2*ACOS(1-A55/$J$21)*180/PI())*PI()/180),IF(AND(A60&gt;$J$21,A60&lt;=$A$52),PI()*POWER($J$21,2)/2+(A60-$J$21)*$J$23,IF(AND(A60&gt;$A$52,A60&lt;=$A$49),(2*(A60-$A$52)*$J$25+2*$J$23)/2*(A60-$A$52)+$B$52,IF(AND(A60&gt;$A$49,A60&lt;=$A$39),$B$49+(A60-$A$49)*$B$27/1000,IF(AND(A60&gt;$A$39,A60&lt;=$A$36),($B$27/1000+$B$27/1000-(2*(A60-$A$39)*$J$19/$J$18))/2*(A60-$A$39)+$B$39))))))</f>
        <v>0</v>
      </c>
      <c r="C60" s="283">
        <f>IF(OR(B27&lt;=0,B28&lt;=0,A60&lt;=0),0,IF(A60&lt;=$J$21,J21*2*ACOS(1-J22/J21),IF(AND(A60&gt;$J$21,A60&lt;=$A$52),$J$21*PI()+2*(A60-$J$21),IF(AND(A60&gt;$A$52,A60&lt;=$A$49),2*SQRT(POWER((A60-$A$52),2)+POWER(((A60-$A$52)*$J$25),2))+$C$52,IF(AND(A60&gt;$A$49,A60&lt;=$A$39),(A60-$A$49)*2+$C$49,IF(AND(A60&gt;$A$39,A60&lt;=$A$36),2*SQRT(POWER((A60-$A$39),2)+POWER((A60-$A$39)*$J$19/$J$18,2))+$C$39+IF(A60=$B$28/1000,$B$27/1000-2*$J$18)))))))</f>
        <v>0</v>
      </c>
      <c r="D60" s="283">
        <f>IF(ISERROR(B60/C60),0,B60/C60)</f>
        <v>0</v>
      </c>
      <c r="E60" s="283">
        <f>IF(ISERROR(IF(A60&lt;=0,0,-2*LOG(2.51*$B$9/(4*D60*SQRT(8*$B$8*D60*$B$6/1000))+$B$7/(1000*(14.84*D60)))*SQRT(8*$B$8*D60*$B$6/1000))),0,IF(A60&lt;=0,0,-2*LOG(2.51*$B$9/(4*D60*SQRT(8*$B$8*D60*$B$6/1000))+$B$7/(1000*(14.84*D60)))*SQRT(8*$B$8*D60*$B$6/1000)))</f>
        <v>0</v>
      </c>
      <c r="F60" s="284">
        <f>E60*B60</f>
        <v>0</v>
      </c>
      <c r="G60" s="285">
        <f>IF(ISERROR(F60/$F$30),0,F60/$F$30)</f>
        <v>0</v>
      </c>
      <c r="H60" s="283">
        <f>IF(OR(B27&lt;=0,B28&lt;=0,A60&lt;=0),0,IF(A60&lt;=$J$21,2*$J$21*SIN(2*ACOS(1-A60/$J$21)*180/PI()/2*PI()/180),IF(AND(A60&gt;$J$21,A60&lt;=$A$52),2*$J$21,IF(AND(A60&gt;$A$52,A60&lt;=$A$49),2*(A60-$A$52)*$J$25+$J$23,IF(AND(A60&gt;$A$49,A60&lt;=$A$39),$B$27/1000,IF(AND(A60&gt;$A$39,A60&lt;=$A$36),$B$27/1000-2*(A60-$A$39)*$J$19/$J$18))))))</f>
        <v>0</v>
      </c>
      <c r="I60" s="285">
        <f>IF(OR(B27&lt;=0,B28&lt;=0,A60&lt;=0),0,E60/SQRT($B$8*B60/H60))</f>
        <v>0</v>
      </c>
      <c r="J60" s="283">
        <f>IF(OR(B27&lt;=0,B28&lt;=0,A60&lt;=0),0,A60+POWER(E60,2)/(2*$B$8))</f>
        <v>0</v>
      </c>
      <c r="K60" s="286">
        <f>$B$8*$B$6*D60</f>
        <v>0</v>
      </c>
      <c r="L60" s="14"/>
      <c r="M60" s="7"/>
      <c r="N60" s="137"/>
      <c r="O60" s="210"/>
      <c r="P60" s="14"/>
      <c r="Q60" s="14"/>
      <c r="R60" s="14"/>
      <c r="S60" s="14"/>
      <c r="T60" s="14"/>
      <c r="U60" s="14"/>
      <c r="V60" s="14"/>
      <c r="W60" s="14"/>
      <c r="X60" s="8"/>
    </row>
    <row r="61" spans="1:24" ht="12" customHeight="1">
      <c r="A61" s="61"/>
      <c r="B61" s="60"/>
      <c r="C61" s="60"/>
      <c r="D61" s="60"/>
      <c r="E61" s="60"/>
      <c r="F61" s="60"/>
      <c r="G61" s="11"/>
      <c r="H61" s="11"/>
      <c r="I61" s="11"/>
      <c r="J61" s="6"/>
      <c r="K61" s="6"/>
      <c r="L61" s="6"/>
      <c r="M61" s="6"/>
      <c r="N61" s="137"/>
      <c r="O61" s="210"/>
      <c r="P61" s="8"/>
      <c r="Q61" s="8"/>
      <c r="R61" s="8"/>
      <c r="S61" s="8"/>
      <c r="V61" s="8"/>
      <c r="W61" s="8"/>
      <c r="X61" s="8"/>
    </row>
    <row r="62" spans="1:24" ht="19.5" customHeight="1">
      <c r="A62" s="62" t="s">
        <v>50</v>
      </c>
      <c r="B62" s="52">
        <f>IF(A60&lt;J31,A60,0)</f>
        <v>0</v>
      </c>
      <c r="C62" s="16" t="s">
        <v>65</v>
      </c>
      <c r="D62" s="34" t="s">
        <v>51</v>
      </c>
      <c r="E62" s="52">
        <f>IF(A60&lt;=0,0,IF(J31&gt;A60,J31,0))</f>
        <v>0</v>
      </c>
      <c r="F62" s="6" t="s">
        <v>8</v>
      </c>
      <c r="G62" s="6"/>
      <c r="H62" s="6"/>
      <c r="I62" s="6"/>
      <c r="J62" s="6"/>
      <c r="K62" s="6"/>
      <c r="L62" s="6"/>
      <c r="M62" s="6"/>
      <c r="N62" s="137"/>
      <c r="O62" s="210"/>
      <c r="P62" s="8"/>
      <c r="Q62" s="8"/>
      <c r="R62" s="8"/>
      <c r="S62" s="8"/>
      <c r="V62" s="8"/>
      <c r="W62" s="8"/>
      <c r="X62" s="8"/>
    </row>
    <row r="63" spans="1:24" ht="20.100000000000001" customHeight="1">
      <c r="A63" s="63"/>
      <c r="B63" s="6" t="s">
        <v>52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37"/>
      <c r="O63" s="210"/>
      <c r="P63" s="8"/>
      <c r="Q63" s="8"/>
      <c r="R63" s="8"/>
      <c r="S63" s="8"/>
      <c r="V63" s="8"/>
      <c r="W63" s="8"/>
      <c r="X63" s="8"/>
    </row>
    <row r="64" spans="1:24" ht="12" customHeight="1">
      <c r="A64" s="6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37"/>
      <c r="O64" s="210"/>
      <c r="P64" s="8"/>
      <c r="Q64" s="8"/>
      <c r="R64" s="8"/>
      <c r="S64" s="8"/>
    </row>
    <row r="65" spans="1:19" ht="19.5" customHeight="1">
      <c r="A65" s="62" t="s">
        <v>50</v>
      </c>
      <c r="B65" s="52">
        <f>IF(A60&gt;=J31,A60,0)</f>
        <v>0</v>
      </c>
      <c r="C65" s="16" t="s">
        <v>66</v>
      </c>
      <c r="D65" s="34" t="s">
        <v>51</v>
      </c>
      <c r="E65" s="52">
        <f>IF(J31&lt;=A60,J31,0)</f>
        <v>0</v>
      </c>
      <c r="F65" s="6" t="s">
        <v>8</v>
      </c>
      <c r="G65" s="6"/>
      <c r="H65" s="6"/>
      <c r="I65" s="6"/>
      <c r="J65" s="6"/>
      <c r="K65" s="6"/>
      <c r="L65" s="6"/>
      <c r="M65" s="6"/>
      <c r="N65" s="137"/>
      <c r="O65" s="8"/>
      <c r="P65" s="8"/>
      <c r="Q65" s="8"/>
      <c r="R65" s="8"/>
      <c r="S65" s="8"/>
    </row>
    <row r="66" spans="1:19" ht="20.100000000000001" customHeight="1">
      <c r="A66" s="63"/>
      <c r="B66" s="6" t="s">
        <v>53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37"/>
      <c r="O66" s="8"/>
      <c r="P66" s="8"/>
      <c r="Q66" s="8"/>
      <c r="R66" s="8"/>
      <c r="S66" s="8"/>
    </row>
    <row r="67" spans="1:19" ht="8.1" customHeight="1" thickBot="1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184"/>
      <c r="O67" s="8"/>
      <c r="P67" s="8"/>
      <c r="Q67" s="8"/>
      <c r="R67" s="8"/>
      <c r="S67" s="8"/>
    </row>
    <row r="68" spans="1:19" ht="12" customHeight="1">
      <c r="A68" s="149" t="s">
        <v>126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8"/>
      <c r="P68" s="8"/>
      <c r="Q68" s="8"/>
      <c r="R68" s="8"/>
      <c r="S68" s="8"/>
    </row>
    <row r="69" spans="1:19" ht="20.10000000000000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8"/>
      <c r="Q69" s="8"/>
      <c r="R69" s="8"/>
      <c r="S69" s="8"/>
    </row>
    <row r="70" spans="1:19">
      <c r="A70" s="303"/>
      <c r="B70" s="304"/>
      <c r="C70" s="304"/>
      <c r="D70" s="304"/>
      <c r="E70" s="6"/>
      <c r="F70" s="6"/>
      <c r="G70" s="6"/>
      <c r="H70" s="6"/>
      <c r="I70" s="6"/>
      <c r="J70" s="6"/>
      <c r="K70" s="6"/>
      <c r="L70" s="6"/>
      <c r="M70" s="6"/>
      <c r="N70" s="6"/>
      <c r="O70" s="8"/>
      <c r="P70" s="8"/>
      <c r="Q70" s="8"/>
      <c r="R70" s="8"/>
      <c r="S70" s="8"/>
    </row>
    <row r="71" spans="1:19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8"/>
      <c r="P71" s="8"/>
      <c r="Q71" s="8"/>
      <c r="R71" s="8"/>
      <c r="S71" s="8"/>
    </row>
    <row r="72" spans="1:19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8"/>
      <c r="P72" s="8"/>
      <c r="Q72" s="8"/>
      <c r="R72" s="8"/>
      <c r="S72" s="8"/>
    </row>
    <row r="73" spans="1:19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Q73" s="8"/>
      <c r="R73" s="8"/>
      <c r="S73" s="8"/>
    </row>
    <row r="74" spans="1:19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Q74" s="8"/>
      <c r="R74" s="8"/>
      <c r="S74" s="8"/>
    </row>
    <row r="75" spans="1:19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Q75" s="8"/>
      <c r="R75" s="8"/>
      <c r="S75" s="8"/>
    </row>
    <row r="76" spans="1:19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Q76" s="8"/>
      <c r="R76" s="8"/>
      <c r="S76" s="8"/>
    </row>
    <row r="77" spans="1:19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1:19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1:19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9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1:14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1:14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1:14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1:14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1:14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1:14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1:14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4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1:14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1:14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1:14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1:14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1:14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4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1:14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4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1:14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1:14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1:14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1:14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1:14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1:14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1:14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1:14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1:14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1:14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1:14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1:14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1:14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</row>
    <row r="116" spans="1:14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</row>
    <row r="117" spans="1:14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1:14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1:14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1:14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4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1:14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1:14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1:14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1:14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1:14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1:14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</row>
    <row r="128" spans="1:14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</row>
    <row r="129" spans="1:14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</row>
    <row r="130" spans="1:14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</row>
    <row r="131" spans="1:14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4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</row>
    <row r="133" spans="1:14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</row>
    <row r="134" spans="1:14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</row>
    <row r="135" spans="1:14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</row>
    <row r="136" spans="1:14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  <row r="137" spans="1:14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</row>
    <row r="138" spans="1:14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39" spans="1:14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</row>
    <row r="140" spans="1:14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</row>
    <row r="141" spans="1:14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</row>
    <row r="142" spans="1:14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</row>
    <row r="143" spans="1:14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</row>
    <row r="144" spans="1:14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</row>
    <row r="145" spans="1:14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</row>
    <row r="146" spans="1:14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</row>
    <row r="147" spans="1:14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</row>
    <row r="148" spans="1:14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</row>
    <row r="149" spans="1:14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</row>
    <row r="150" spans="1:14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</row>
    <row r="151" spans="1:14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</row>
    <row r="152" spans="1:14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</row>
    <row r="153" spans="1:14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</row>
    <row r="154" spans="1:14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</row>
    <row r="155" spans="1:14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</row>
    <row r="156" spans="1:14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</row>
    <row r="157" spans="1:14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</row>
    <row r="158" spans="1:14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</row>
    <row r="159" spans="1:14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</row>
    <row r="160" spans="1:14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</row>
  </sheetData>
  <sheetProtection password="8FFE" sheet="1"/>
  <mergeCells count="33">
    <mergeCell ref="N52:N54"/>
    <mergeCell ref="N49:N51"/>
    <mergeCell ref="A17:F17"/>
    <mergeCell ref="I20:J20"/>
    <mergeCell ref="I24:J24"/>
    <mergeCell ref="L34:M34"/>
    <mergeCell ref="L23:M23"/>
    <mergeCell ref="L27:M27"/>
    <mergeCell ref="N42:N45"/>
    <mergeCell ref="N36:N38"/>
    <mergeCell ref="L19:M19"/>
    <mergeCell ref="L20:M20"/>
    <mergeCell ref="A70:D70"/>
    <mergeCell ref="A59:D59"/>
    <mergeCell ref="E26:F26"/>
    <mergeCell ref="A26:B26"/>
    <mergeCell ref="A57:C57"/>
    <mergeCell ref="I16:K16"/>
    <mergeCell ref="M36:M38"/>
    <mergeCell ref="M40:M47"/>
    <mergeCell ref="L21:M21"/>
    <mergeCell ref="L22:M22"/>
    <mergeCell ref="L24:M24"/>
    <mergeCell ref="L25:M25"/>
    <mergeCell ref="L26:M26"/>
    <mergeCell ref="L28:M28"/>
    <mergeCell ref="L18:M18"/>
    <mergeCell ref="A1:A2"/>
    <mergeCell ref="B1:K1"/>
    <mergeCell ref="B2:K2"/>
    <mergeCell ref="A14:B14"/>
    <mergeCell ref="A4:C4"/>
    <mergeCell ref="A12:B12"/>
  </mergeCells>
  <phoneticPr fontId="0" type="noConversion"/>
  <printOptions horizontalCentered="1" verticalCentered="1"/>
  <pageMargins left="0.59055118110236227" right="0" top="0" bottom="0" header="0" footer="0"/>
  <pageSetup paperSize="9" scale="63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06B4-1A46-4E95-845E-9BCAB2144645}">
  <dimension ref="A1:X160"/>
  <sheetViews>
    <sheetView showGridLines="0" showZeros="0" zoomScaleNormal="100" workbookViewId="0">
      <selection activeCell="B5" sqref="B5"/>
    </sheetView>
  </sheetViews>
  <sheetFormatPr baseColWidth="10" defaultRowHeight="12.75"/>
  <cols>
    <col min="1" max="11" width="12.28515625" style="2" customWidth="1"/>
    <col min="12" max="14" width="4.7109375" style="2" customWidth="1"/>
    <col min="15" max="27" width="10.7109375" style="2" customWidth="1"/>
    <col min="28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177"/>
      <c r="M1" s="177"/>
      <c r="N1" s="178"/>
      <c r="O1" s="139"/>
      <c r="P1" s="139"/>
      <c r="Q1" s="139"/>
      <c r="R1" s="139"/>
      <c r="S1" s="8"/>
    </row>
    <row r="2" spans="1:19" ht="30" customHeight="1">
      <c r="A2" s="306"/>
      <c r="B2" s="310" t="s">
        <v>105</v>
      </c>
      <c r="C2" s="311"/>
      <c r="D2" s="311"/>
      <c r="E2" s="311"/>
      <c r="F2" s="311"/>
      <c r="G2" s="311"/>
      <c r="H2" s="311"/>
      <c r="I2" s="311"/>
      <c r="J2" s="311"/>
      <c r="K2" s="312"/>
      <c r="L2" s="187"/>
      <c r="M2" s="187"/>
      <c r="N2" s="188"/>
      <c r="O2" s="140"/>
      <c r="P2" s="196"/>
      <c r="Q2" s="140"/>
      <c r="R2" s="140"/>
      <c r="S2" s="8"/>
    </row>
    <row r="3" spans="1:19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140"/>
      <c r="M3" s="140"/>
      <c r="N3" s="258"/>
      <c r="O3" s="140"/>
      <c r="P3" s="196"/>
      <c r="Q3" s="140"/>
      <c r="R3" s="140"/>
      <c r="S3" s="8"/>
    </row>
    <row r="4" spans="1:19" ht="20.100000000000001" customHeight="1">
      <c r="A4" s="318" t="s">
        <v>59</v>
      </c>
      <c r="B4" s="319"/>
      <c r="C4" s="319"/>
      <c r="D4" s="6"/>
      <c r="E4" s="6"/>
      <c r="F4" s="6"/>
      <c r="G4" s="6"/>
      <c r="H4" s="6"/>
      <c r="I4" s="36"/>
      <c r="J4" s="170"/>
      <c r="K4" s="170"/>
      <c r="L4" s="170"/>
      <c r="M4" s="170"/>
      <c r="N4" s="179"/>
      <c r="O4" s="170"/>
      <c r="P4" s="101"/>
      <c r="Q4" s="101"/>
      <c r="R4" s="101"/>
      <c r="S4" s="8"/>
    </row>
    <row r="5" spans="1:19" ht="20.100000000000001" customHeight="1">
      <c r="A5" s="5" t="s">
        <v>28</v>
      </c>
      <c r="B5" s="148"/>
      <c r="C5" s="6" t="s">
        <v>29</v>
      </c>
      <c r="D5" s="6" t="s">
        <v>42</v>
      </c>
      <c r="E5" s="6"/>
      <c r="F5" s="6"/>
      <c r="G5" s="6"/>
      <c r="H5" s="6"/>
      <c r="I5" s="36"/>
      <c r="J5" s="171"/>
      <c r="K5" s="171"/>
      <c r="L5" s="36"/>
      <c r="M5" s="36"/>
      <c r="N5" s="136"/>
      <c r="O5" s="36"/>
      <c r="P5" s="36"/>
      <c r="Q5" s="36"/>
      <c r="R5" s="36"/>
      <c r="S5" s="6"/>
    </row>
    <row r="6" spans="1:19" ht="20.100000000000001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6"/>
      <c r="H6" s="6"/>
      <c r="I6" s="36"/>
      <c r="J6" s="36"/>
      <c r="K6" s="36"/>
      <c r="L6" s="102"/>
      <c r="M6" s="102"/>
      <c r="N6" s="151"/>
      <c r="O6" s="36"/>
      <c r="P6" s="36"/>
      <c r="Q6" s="36"/>
      <c r="R6" s="36"/>
      <c r="S6" s="6"/>
    </row>
    <row r="7" spans="1:19" ht="20.100000000000001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6"/>
      <c r="H7" s="6"/>
      <c r="I7" s="36"/>
      <c r="J7" s="36"/>
      <c r="K7" s="36"/>
      <c r="L7" s="102"/>
      <c r="M7" s="172"/>
      <c r="N7" s="180"/>
      <c r="O7" s="36"/>
      <c r="P7" s="36"/>
      <c r="Q7" s="36"/>
      <c r="R7" s="36"/>
      <c r="S7" s="6"/>
    </row>
    <row r="8" spans="1:19" ht="20.100000000000001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6"/>
      <c r="H8" s="6"/>
      <c r="I8" s="36"/>
      <c r="J8" s="88"/>
      <c r="K8" s="88"/>
      <c r="L8" s="105"/>
      <c r="M8" s="77"/>
      <c r="N8" s="136"/>
      <c r="O8" s="36"/>
      <c r="P8" s="36"/>
      <c r="Q8" s="36"/>
      <c r="R8" s="36"/>
      <c r="S8" s="6"/>
    </row>
    <row r="9" spans="1:19" ht="20.100000000000001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6"/>
      <c r="H9" s="6"/>
      <c r="I9" s="36"/>
      <c r="J9" s="104"/>
      <c r="K9" s="104"/>
      <c r="L9" s="102"/>
      <c r="M9" s="172"/>
      <c r="N9" s="180"/>
      <c r="O9" s="36"/>
      <c r="P9" s="36"/>
      <c r="Q9" s="36"/>
      <c r="R9" s="36"/>
      <c r="S9" s="6"/>
    </row>
    <row r="10" spans="1:19" ht="20.100000000000001" customHeight="1">
      <c r="A10" s="5"/>
      <c r="B10" s="12"/>
      <c r="C10" s="13"/>
      <c r="D10" s="6"/>
      <c r="E10" s="6"/>
      <c r="F10" s="6"/>
      <c r="G10" s="6"/>
      <c r="H10" s="6"/>
      <c r="I10" s="36"/>
      <c r="J10" s="173"/>
      <c r="K10" s="173"/>
      <c r="L10" s="102"/>
      <c r="M10" s="172"/>
      <c r="N10" s="180"/>
      <c r="O10" s="36"/>
      <c r="P10" s="36"/>
      <c r="Q10" s="36"/>
      <c r="R10" s="36"/>
      <c r="S10" s="6"/>
    </row>
    <row r="11" spans="1:19" ht="20.100000000000001" customHeight="1">
      <c r="A11" s="32" t="s">
        <v>9</v>
      </c>
      <c r="B11" s="37"/>
      <c r="C11" s="13"/>
      <c r="D11" s="7"/>
      <c r="E11" s="6"/>
      <c r="F11" s="6"/>
      <c r="G11" s="6"/>
      <c r="H11" s="6"/>
      <c r="I11" s="36"/>
      <c r="J11" s="36"/>
      <c r="K11" s="36"/>
      <c r="L11" s="166"/>
      <c r="M11" s="77"/>
      <c r="N11" s="181"/>
      <c r="O11" s="36"/>
      <c r="P11" s="36"/>
      <c r="Q11" s="36"/>
      <c r="R11" s="36"/>
      <c r="S11" s="6"/>
    </row>
    <row r="12" spans="1:19" ht="20.100000000000001" customHeight="1">
      <c r="A12" s="32" t="s">
        <v>93</v>
      </c>
      <c r="B12" s="4"/>
      <c r="C12" s="12"/>
      <c r="D12" s="12"/>
      <c r="E12" s="6"/>
      <c r="F12" s="195"/>
      <c r="G12" s="6"/>
      <c r="H12" s="6"/>
      <c r="I12" s="36"/>
      <c r="J12" s="174"/>
      <c r="K12" s="174"/>
      <c r="L12" s="36"/>
      <c r="M12" s="36"/>
      <c r="N12" s="136"/>
      <c r="O12" s="36"/>
      <c r="P12" s="36"/>
      <c r="Q12" s="36"/>
      <c r="R12" s="36"/>
      <c r="S12" s="6"/>
    </row>
    <row r="13" spans="1:19" ht="20.100000000000001" customHeight="1">
      <c r="A13" s="15" t="s">
        <v>100</v>
      </c>
      <c r="B13" s="12"/>
      <c r="C13" s="45" t="s">
        <v>55</v>
      </c>
      <c r="D13" s="265"/>
      <c r="E13" s="6" t="s">
        <v>8</v>
      </c>
      <c r="F13" s="6"/>
      <c r="G13" s="6"/>
      <c r="H13" s="6"/>
      <c r="I13" s="36"/>
      <c r="J13" s="36"/>
      <c r="K13" s="36"/>
      <c r="L13" s="166"/>
      <c r="M13" s="166"/>
      <c r="N13" s="182"/>
      <c r="O13" s="36"/>
      <c r="P13" s="36"/>
      <c r="Q13" s="36"/>
      <c r="R13" s="36"/>
      <c r="S13" s="6"/>
    </row>
    <row r="14" spans="1:19" ht="20.100000000000001" customHeight="1">
      <c r="A14" s="15" t="s">
        <v>102</v>
      </c>
      <c r="B14" s="12"/>
      <c r="C14" s="194" t="s">
        <v>103</v>
      </c>
      <c r="D14" s="199"/>
      <c r="E14" s="6"/>
      <c r="F14" s="6"/>
      <c r="G14" s="6"/>
      <c r="H14" s="6"/>
      <c r="I14" s="36"/>
      <c r="J14" s="36"/>
      <c r="K14" s="36"/>
      <c r="L14" s="166"/>
      <c r="M14" s="166"/>
      <c r="N14" s="182"/>
      <c r="O14" s="36"/>
      <c r="P14" s="36"/>
      <c r="Q14" s="36"/>
      <c r="R14" s="36"/>
      <c r="S14" s="6"/>
    </row>
    <row r="15" spans="1:19" ht="20.100000000000001" customHeight="1">
      <c r="A15" s="15"/>
      <c r="B15" s="12"/>
      <c r="C15" s="167"/>
      <c r="D15" s="168"/>
      <c r="E15" s="36"/>
      <c r="F15" s="36"/>
      <c r="G15" s="6"/>
      <c r="H15" s="8"/>
      <c r="I15" s="319" t="s">
        <v>58</v>
      </c>
      <c r="J15" s="319"/>
      <c r="K15" s="319"/>
      <c r="L15" s="166"/>
      <c r="M15" s="166"/>
      <c r="N15" s="182"/>
      <c r="O15" s="78"/>
      <c r="P15" s="6"/>
      <c r="Q15" s="6"/>
      <c r="R15" s="6"/>
      <c r="S15" s="6"/>
    </row>
    <row r="16" spans="1:19" ht="20.100000000000001" customHeight="1">
      <c r="A16" s="315" t="s">
        <v>71</v>
      </c>
      <c r="B16" s="316"/>
      <c r="C16" s="316"/>
      <c r="D16" s="316"/>
      <c r="E16" s="316"/>
      <c r="F16" s="316"/>
      <c r="G16" s="6"/>
      <c r="H16" s="279"/>
      <c r="I16" s="7" t="s">
        <v>11</v>
      </c>
      <c r="J16" s="90"/>
      <c r="K16" s="6"/>
      <c r="L16" s="279"/>
      <c r="M16" s="293"/>
      <c r="N16" s="137"/>
      <c r="O16" s="34"/>
      <c r="P16" s="6"/>
      <c r="Q16" s="6"/>
      <c r="R16" s="6"/>
      <c r="S16" s="6"/>
    </row>
    <row r="17" spans="1:19" ht="20.100000000000001" customHeight="1">
      <c r="A17" s="15" t="s">
        <v>41</v>
      </c>
      <c r="B17" s="16"/>
      <c r="C17" s="16"/>
      <c r="D17" s="16"/>
      <c r="E17" s="16"/>
      <c r="F17" s="16"/>
      <c r="G17" s="6"/>
      <c r="H17" s="279"/>
      <c r="I17" s="6" t="s">
        <v>60</v>
      </c>
      <c r="J17" s="209">
        <f>IF(AND(A21&lt;=0,B26&lt;=0),0,0.2)</f>
        <v>0</v>
      </c>
      <c r="K17" s="169" t="s">
        <v>8</v>
      </c>
      <c r="L17" s="339"/>
      <c r="M17" s="339"/>
      <c r="N17" s="183"/>
      <c r="O17" s="34"/>
      <c r="P17" s="232"/>
      <c r="Q17" s="6"/>
      <c r="R17" s="6"/>
      <c r="S17" s="6"/>
    </row>
    <row r="18" spans="1:19" ht="20.100000000000001" customHeight="1">
      <c r="A18" s="15" t="s">
        <v>2</v>
      </c>
      <c r="B18" s="16"/>
      <c r="C18" s="16"/>
      <c r="D18" s="16"/>
      <c r="E18" s="6"/>
      <c r="F18" s="6"/>
      <c r="G18" s="6"/>
      <c r="H18" s="279"/>
      <c r="I18" s="6" t="s">
        <v>12</v>
      </c>
      <c r="J18" s="209">
        <f>IF(J17&lt;=0,0,0.2)</f>
        <v>0</v>
      </c>
      <c r="K18" s="14" t="s">
        <v>8</v>
      </c>
      <c r="L18" s="339"/>
      <c r="M18" s="339"/>
      <c r="N18" s="137"/>
      <c r="O18" s="34"/>
      <c r="P18" s="232"/>
      <c r="Q18" s="6"/>
      <c r="R18" s="6"/>
      <c r="S18" s="6"/>
    </row>
    <row r="19" spans="1:19" ht="20.100000000000001" customHeight="1">
      <c r="A19" s="17" t="s">
        <v>3</v>
      </c>
      <c r="B19" s="18" t="s">
        <v>4</v>
      </c>
      <c r="C19" s="19" t="s">
        <v>5</v>
      </c>
      <c r="D19" s="19" t="s">
        <v>6</v>
      </c>
      <c r="E19" s="19" t="s">
        <v>7</v>
      </c>
      <c r="F19" s="20" t="s">
        <v>35</v>
      </c>
      <c r="G19" s="79"/>
      <c r="H19" s="279"/>
      <c r="I19" s="331" t="s">
        <v>56</v>
      </c>
      <c r="J19" s="331"/>
      <c r="K19" s="14"/>
      <c r="L19" s="339"/>
      <c r="M19" s="339"/>
      <c r="N19" s="137"/>
      <c r="O19" s="34"/>
      <c r="P19" s="232"/>
      <c r="Q19" s="6"/>
      <c r="R19" s="6"/>
      <c r="S19" s="6"/>
    </row>
    <row r="20" spans="1:19" ht="20.100000000000001" customHeight="1">
      <c r="A20" s="21" t="s">
        <v>0</v>
      </c>
      <c r="B20" s="22" t="s">
        <v>0</v>
      </c>
      <c r="C20" s="22" t="s">
        <v>36</v>
      </c>
      <c r="D20" s="23" t="s">
        <v>8</v>
      </c>
      <c r="E20" s="23" t="s">
        <v>8</v>
      </c>
      <c r="F20" s="24" t="s">
        <v>36</v>
      </c>
      <c r="G20" s="45"/>
      <c r="H20" s="279"/>
      <c r="I20" s="6" t="s">
        <v>55</v>
      </c>
      <c r="J20" s="52">
        <f>IF(B26&lt;=0,0,D13)</f>
        <v>0</v>
      </c>
      <c r="K20" s="14" t="s">
        <v>8</v>
      </c>
      <c r="L20" s="339"/>
      <c r="M20" s="339"/>
      <c r="N20" s="137"/>
      <c r="O20" s="34"/>
      <c r="P20" s="232"/>
      <c r="Q20" s="6"/>
      <c r="R20" s="6"/>
      <c r="S20" s="6"/>
    </row>
    <row r="21" spans="1:19" ht="20.100000000000001" customHeight="1">
      <c r="A21" s="75"/>
      <c r="B21" s="76"/>
      <c r="C21" s="222">
        <f>IF(OR(B6&lt;=0,A21&lt;=0,B21&lt;=0),0,POWER($D$13,2)/2*(2*ATAN(1/$D$14)-SIN(2*ATAN(1/$D$14)))+(2*$D$13*COS(ATAN(1/$D$14))+A21/1000)/2*(A21/1000-2*$D$13*COS(ATAN(1/$D$14)))/2/$D$14+(B21/1000-$J$18-($D$13-$D$13*COS(ATAN(1/$D$14)))-(A21/1000-2*$D$13*COS(ATAN(1/$D$14)))/2/$D$14)*A21/1000+(A21/1000+A21/1000-2*$J$17)/2*$J$18)</f>
        <v>0</v>
      </c>
      <c r="D21" s="235">
        <f>IF(OR(B6&lt;=0,A21&lt;=0,B21&lt;=0),0,$D$13*2*ATAN(1/$D$14)+2*SQRT(POWER((A21/1000-2*$D$13*COS(ATAN(1/$D$14)))/2/$D$14,2)+POWER((A21/1000-2*$D$13*COS(ATAN(1/$D$14)))/2,2))+2*(B21/1000-$J$18-($D$13-$D$13*COS(ATAN(1/$D$14)))-(A21/1000-2*$D$13*COS(ATAN(1/$D$14)))/2/$D$14)+2*SQRT(POWER($J$18,2)+POWER($J$17,2))+A21/1000-2*$J$17)</f>
        <v>0</v>
      </c>
      <c r="E21" s="47">
        <f>IF(ISERROR(C21/D21),0,C21/D21)</f>
        <v>0</v>
      </c>
      <c r="F21" s="243">
        <f>IF(ISERROR($B$5/(-2*LOG(2.51*$B$9/(4*E21*SQRT(8*$B$8*E21*$B$6/1000))+$B$7/(1000*(14.84*E21)))*SQRT(8*$B$8*E21*$B$6/1000))),0,$B$5/(-2*LOG(2.51*$B$9/(4*E21*SQRT(8*$B$8*E21*$B$6/1000))+$B$7/(1000*(14.84*E21)))*SQRT(8*$B$8*E21*$B$6/1000)))</f>
        <v>0</v>
      </c>
      <c r="G21" s="292">
        <f>IF(B21&lt;=0,0,IF(B21/1000&lt;($J$18+H21+H27),"HN erhöhen",0))</f>
        <v>0</v>
      </c>
      <c r="H21" s="280">
        <f>IF(OR(A21&lt;=0,B21&lt;=0),0,D13-D13*COS(ATAN(1/D14)))</f>
        <v>0</v>
      </c>
      <c r="I21" s="14" t="s">
        <v>64</v>
      </c>
      <c r="J21" s="52">
        <f>IF(B26&lt;=0,0,$J$20-$J$20*COS(ATAN(1/J24)))</f>
        <v>0</v>
      </c>
      <c r="K21" s="14" t="s">
        <v>8</v>
      </c>
      <c r="L21" s="341">
        <f>IF(OR(A22&lt;=0,B22&lt;=0),0,D13-D13*COS(ATAN(1/D14)))</f>
        <v>0</v>
      </c>
      <c r="M21" s="341"/>
      <c r="N21" s="137"/>
      <c r="O21" s="34"/>
      <c r="P21" s="6"/>
      <c r="Q21" s="6"/>
      <c r="R21" s="6"/>
      <c r="S21" s="6"/>
    </row>
    <row r="22" spans="1:19" ht="20.100000000000001" customHeight="1">
      <c r="A22" s="270"/>
      <c r="B22" s="271"/>
      <c r="C22" s="260">
        <f>IF(OR(B6&lt;=0,A22&lt;=0,B22&lt;=0),0,POWER($D$13,2)/2*(2*ATAN(1/$D$14)-SIN(2*ATAN(1/$D$14)))+(2*$D$13*COS(ATAN(1/$D$14))+A22/1000)/2*(A22/1000-2*$D$13*COS(ATAN(1/$D$14)))/2/$D$14+(B22/1000-$J$18-($D$13-$D$13*COS(ATAN(1/$D$14)))-(A22/1000-2*$D$13*COS(ATAN(1/$D$14)))/2/$D$14)*A22/1000+(A22/1000+A22/1000-2*$J$17)/2*$J$18)</f>
        <v>0</v>
      </c>
      <c r="D22" s="80">
        <f>IF(OR(B6&lt;=0,A22&lt;=0,B22&lt;=0),0,$D$13*2*ATAN(1/$D$14)+2*SQRT(POWER((A22/1000-2*$D$13*COS(ATAN(1/$D$14)))/2/$D$14,2)+POWER((A22/1000-2*$D$13*COS(ATAN(1/$D$14)))/2,2))+2*(B22/1000-$J$18-($D$13-$D$13*COS(ATAN(1/$D$14)))-(A22/1000-2*$D$13*COS(ATAN(1/$D$14)))/2/$D$14)+2*SQRT(POWER($J$18,2)+POWER($J$17,2))+A22/1000-2*$J$17)</f>
        <v>0</v>
      </c>
      <c r="E22" s="28">
        <f>IF(ISERROR(C22/D22),0,C22/D22)</f>
        <v>0</v>
      </c>
      <c r="F22" s="261">
        <f>IF(ISERROR($B$5/(-2*LOG(2.51*$B$9/(4*E22*SQRT(8*$B$8*E22*$B$6/1000))+$B$7/(1000*(14.84*E22)))*SQRT(8*$B$8*E22*$B$6/1000))),0,$B$5/(-2*LOG(2.51*$B$9/(4*E22*SQRT(8*$B$8*E22*$B$6/1000))+$B$7/(1000*(14.84*E22)))*SQRT(8*$B$8*E22*$B$6/1000)))</f>
        <v>0</v>
      </c>
      <c r="G22" s="292">
        <f>IF(B22&lt;=0,0,IF(B22/1000&lt;($J$18+L21+L27),"HN erhöhen",0))</f>
        <v>0</v>
      </c>
      <c r="H22" s="280">
        <f>IF(OR(A22&lt;=0,B22&lt;=0),0,2*$J$20*COS(ATAN(1/$D$14)))</f>
        <v>0</v>
      </c>
      <c r="I22" s="13" t="s">
        <v>68</v>
      </c>
      <c r="J22" s="52">
        <f>IF(D14&lt;=0,0,2*$J$20*COS(ATAN(1/$D$14)))</f>
        <v>0</v>
      </c>
      <c r="K22" s="14" t="s">
        <v>8</v>
      </c>
      <c r="L22" s="341">
        <f>IF(OR(A22&lt;=0,B22&lt;=0),0,2*$J$20*COS(ATAN(1/$D$14)))</f>
        <v>0</v>
      </c>
      <c r="M22" s="341"/>
      <c r="N22" s="137"/>
      <c r="O22" s="210"/>
      <c r="P22" s="8"/>
      <c r="Q22" s="8"/>
      <c r="R22" s="8"/>
      <c r="S22" s="8"/>
    </row>
    <row r="23" spans="1:19" ht="20.100000000000001" customHeight="1">
      <c r="A23" s="29"/>
      <c r="B23" s="30"/>
      <c r="C23" s="31"/>
      <c r="D23" s="31"/>
      <c r="E23" s="31"/>
      <c r="F23" s="31"/>
      <c r="G23" s="6"/>
      <c r="H23" s="280"/>
      <c r="I23" s="329" t="s">
        <v>75</v>
      </c>
      <c r="J23" s="342"/>
      <c r="L23" s="339"/>
      <c r="M23" s="339"/>
      <c r="N23" s="137"/>
      <c r="O23" s="210"/>
      <c r="P23" s="207"/>
      <c r="Q23" s="8"/>
      <c r="R23" s="8"/>
      <c r="S23" s="8"/>
    </row>
    <row r="24" spans="1:19" ht="20.100000000000001" customHeight="1">
      <c r="A24" s="32" t="s">
        <v>9</v>
      </c>
      <c r="B24" s="16"/>
      <c r="C24" s="16"/>
      <c r="D24" s="16"/>
      <c r="E24" s="6"/>
      <c r="F24" s="6"/>
      <c r="G24" s="6"/>
      <c r="H24" s="280"/>
      <c r="I24" s="278" t="s">
        <v>129</v>
      </c>
      <c r="J24" s="277">
        <f>IF(OR(B26&lt;=0,B27&lt;=0),0,D14)</f>
        <v>0</v>
      </c>
      <c r="L24" s="339"/>
      <c r="M24" s="339"/>
      <c r="N24" s="137"/>
      <c r="O24" s="210"/>
      <c r="P24" s="8"/>
      <c r="Q24" s="8"/>
      <c r="R24" s="8"/>
      <c r="S24" s="8"/>
    </row>
    <row r="25" spans="1:19" ht="20.100000000000001" customHeight="1">
      <c r="A25" s="32" t="s">
        <v>10</v>
      </c>
      <c r="B25" s="16"/>
      <c r="C25" s="16"/>
      <c r="D25" s="8"/>
      <c r="E25" s="7" t="s">
        <v>106</v>
      </c>
      <c r="F25" s="6"/>
      <c r="G25" s="6"/>
      <c r="H25" s="279"/>
      <c r="I25" s="89" t="s">
        <v>69</v>
      </c>
      <c r="J25" s="6"/>
      <c r="K25" s="14"/>
      <c r="L25" s="339"/>
      <c r="M25" s="339"/>
      <c r="N25" s="9"/>
      <c r="O25" s="210"/>
      <c r="P25" s="207"/>
      <c r="Q25" s="8"/>
      <c r="R25" s="8"/>
      <c r="S25" s="8"/>
    </row>
    <row r="26" spans="1:19" ht="20.100000000000001" customHeight="1">
      <c r="A26" s="5" t="s">
        <v>3</v>
      </c>
      <c r="B26" s="236">
        <f>A22</f>
        <v>0</v>
      </c>
      <c r="C26" s="6" t="s">
        <v>0</v>
      </c>
      <c r="D26" s="8"/>
      <c r="E26" s="34" t="s">
        <v>54</v>
      </c>
      <c r="F26" s="86">
        <f>IF(OR(B26&lt;=0,B27&lt;=0,J20&lt;=0),0,POWER($D$13,2)/2*(2*ATAN(1/$D$14)-SIN(2*ATAN(1/$D$14)))+(2*$D$13*COS(ATAN(1/$D$14))+B26/1000)/2*(B26/1000-2*$D$13*COS(ATAN(1/$D$14)))/2/$D$14+(B27/1000-$J$18-($D$13-$D$13*COS(ATAN(1/$D$14)))-(B26/1000-2*$D$13*COS(ATAN(1/$D$14)))/2/$D$14)*B26/1000+(B26/1000+B26/1000-2*$J$17)/2*$J$18)</f>
        <v>0</v>
      </c>
      <c r="G26" s="6" t="s">
        <v>36</v>
      </c>
      <c r="H26" s="280">
        <f>IF(OR(A21&lt;=0,B21&lt;=0),0,(B26/1000-J22)/2)</f>
        <v>0</v>
      </c>
      <c r="I26" s="6" t="s">
        <v>70</v>
      </c>
      <c r="J26" s="52">
        <f>(B26/1000-J22)/2</f>
        <v>0</v>
      </c>
      <c r="K26" s="14" t="s">
        <v>8</v>
      </c>
      <c r="L26" s="341">
        <f>IF(OR(A22&lt;=0,B22&lt;=0),0,(B26/1000-J22)/2)</f>
        <v>0</v>
      </c>
      <c r="M26" s="341"/>
      <c r="N26" s="137"/>
      <c r="Q26" s="8"/>
      <c r="R26" s="8"/>
      <c r="S26" s="8"/>
    </row>
    <row r="27" spans="1:19" ht="20.100000000000001" customHeight="1">
      <c r="A27" s="5" t="s">
        <v>4</v>
      </c>
      <c r="B27" s="236">
        <f>B22</f>
        <v>0</v>
      </c>
      <c r="C27" s="6" t="s">
        <v>0</v>
      </c>
      <c r="D27" s="8"/>
      <c r="E27" s="35" t="s">
        <v>62</v>
      </c>
      <c r="F27" s="288">
        <f>IF(OR(B26&lt;=0,B27&lt;=0,J20&lt;=0),0,$D$13*2*ATAN(1/$D$14)+2*SQRT(POWER((B26/1000-2*$D$13*COS(ATAN(1/$D$14)))/2/$D$14,2)+POWER((B26/1000-2*$D$13*COS(ATAN(1/$D$14)))/2,2))+2*(B27/1000-$J$18-($D$13-$D$13*COS(ATAN(1/$D$14)))-(B26/1000-2*$D$13*COS(ATAN(1/$D$14)))/2/$D$14)+2*SQRT(POWER($J$18,2)+POWER($J$17,2))+B26/1000-2*$J$17)</f>
        <v>0</v>
      </c>
      <c r="G27" s="36" t="s">
        <v>8</v>
      </c>
      <c r="H27" s="280">
        <f>IF(OR(A21&lt;=0,B21&lt;=0),0,(B26/1000-J22)/2)</f>
        <v>0</v>
      </c>
      <c r="I27" s="8" t="s">
        <v>112</v>
      </c>
      <c r="J27" s="52">
        <f>IF(B26&lt;=0,0,(B26/1000-J22)/2)</f>
        <v>0</v>
      </c>
      <c r="K27" s="6" t="s">
        <v>8</v>
      </c>
      <c r="L27" s="341">
        <f>IF(OR(A22&lt;=0,B22&lt;=0),0,(B26/1000-J22)/2)</f>
        <v>0</v>
      </c>
      <c r="M27" s="341"/>
      <c r="N27" s="137"/>
      <c r="Q27" s="8"/>
      <c r="R27" s="8"/>
      <c r="S27" s="8"/>
    </row>
    <row r="28" spans="1:19" ht="20.100000000000001" customHeight="1">
      <c r="A28" s="5"/>
      <c r="B28" s="37"/>
      <c r="C28" s="6"/>
      <c r="D28" s="8"/>
      <c r="E28" s="200" t="s">
        <v>109</v>
      </c>
      <c r="F28" s="289">
        <f>IF(OR(B6&lt;=0,B26&lt;=0,B27&lt;=0),0,-2*LOG(2.51*$B$9/(4*F26/F27*SQRT(8*$B$8*F26/F27*$B$6/1000))+$B$7/(1000*(14.84*F26/F27)))*SQRT(8*$B$8*F26/F27*$B$6/1000))</f>
        <v>0</v>
      </c>
      <c r="G28" s="95" t="s">
        <v>15</v>
      </c>
      <c r="H28" s="279"/>
      <c r="I28" s="8"/>
      <c r="J28" s="8"/>
      <c r="K28" s="16"/>
      <c r="L28" s="6"/>
      <c r="M28" s="8"/>
      <c r="N28" s="9"/>
      <c r="O28" s="210"/>
      <c r="P28" s="207"/>
      <c r="Q28" s="8"/>
      <c r="R28" s="8"/>
      <c r="S28" s="8"/>
    </row>
    <row r="29" spans="1:19" ht="20.100000000000001" customHeight="1">
      <c r="A29" s="5"/>
      <c r="B29" s="37"/>
      <c r="C29" s="6"/>
      <c r="D29" s="8"/>
      <c r="E29" s="200" t="s">
        <v>107</v>
      </c>
      <c r="F29" s="290">
        <f>F28*F26</f>
        <v>0</v>
      </c>
      <c r="G29" s="16" t="s">
        <v>29</v>
      </c>
      <c r="H29" s="279"/>
      <c r="I29" s="16" t="s">
        <v>84</v>
      </c>
      <c r="J29" s="8"/>
      <c r="K29" s="34"/>
      <c r="L29" s="175"/>
      <c r="M29" s="6"/>
      <c r="N29" s="137"/>
      <c r="O29" s="34"/>
      <c r="P29" s="207"/>
      <c r="Q29" s="8"/>
      <c r="R29" s="8"/>
      <c r="S29" s="8"/>
    </row>
    <row r="30" spans="1:19" ht="20.100000000000001" customHeight="1">
      <c r="A30" s="5"/>
      <c r="B30" s="37"/>
      <c r="C30" s="6"/>
      <c r="D30" s="6"/>
      <c r="E30" s="6"/>
      <c r="F30" s="38"/>
      <c r="G30" s="6"/>
      <c r="H30" s="8"/>
      <c r="I30" s="34" t="s">
        <v>48</v>
      </c>
      <c r="J30" s="52">
        <f>IF(OR(B26&lt;=0,B27&lt;=0),0,B27/1000+POWER(F28,2)/2/B8)</f>
        <v>0</v>
      </c>
      <c r="K30" s="11" t="s">
        <v>8</v>
      </c>
      <c r="L30" s="6"/>
      <c r="M30" s="6"/>
      <c r="N30" s="137"/>
      <c r="O30" s="8"/>
      <c r="P30" s="8"/>
      <c r="Q30" s="8"/>
      <c r="R30" s="8"/>
      <c r="S30" s="8"/>
    </row>
    <row r="31" spans="1:19" ht="20.100000000000001" customHeight="1">
      <c r="A31" s="91" t="s">
        <v>49</v>
      </c>
      <c r="B31" s="6"/>
      <c r="C31" s="6"/>
      <c r="D31" s="6"/>
      <c r="E31" s="191"/>
      <c r="F31" s="191"/>
      <c r="G31" s="191"/>
      <c r="H31" s="192"/>
      <c r="I31" s="191"/>
      <c r="J31" s="191"/>
      <c r="K31" s="191"/>
      <c r="L31" s="6"/>
      <c r="M31" s="6"/>
      <c r="N31" s="137"/>
      <c r="O31" s="210"/>
      <c r="P31" s="8"/>
      <c r="Q31" s="8"/>
      <c r="R31" s="8"/>
      <c r="S31" s="8"/>
    </row>
    <row r="32" spans="1:19" ht="45" customHeight="1">
      <c r="A32" s="40" t="s">
        <v>16</v>
      </c>
      <c r="B32" s="19" t="s">
        <v>17</v>
      </c>
      <c r="C32" s="19" t="s">
        <v>18</v>
      </c>
      <c r="D32" s="19" t="s">
        <v>19</v>
      </c>
      <c r="E32" s="117" t="s">
        <v>20</v>
      </c>
      <c r="F32" s="189" t="s">
        <v>21</v>
      </c>
      <c r="G32" s="117" t="s">
        <v>22</v>
      </c>
      <c r="H32" s="117" t="s">
        <v>90</v>
      </c>
      <c r="I32" s="189" t="s">
        <v>23</v>
      </c>
      <c r="J32" s="190" t="s">
        <v>24</v>
      </c>
      <c r="K32" s="190" t="s">
        <v>113</v>
      </c>
      <c r="L32" s="79"/>
      <c r="M32" s="6"/>
      <c r="N32" s="137"/>
      <c r="O32" s="210"/>
      <c r="P32" s="8"/>
      <c r="Q32" s="8"/>
      <c r="R32" s="8"/>
      <c r="S32" s="8"/>
    </row>
    <row r="33" spans="1:19" ht="20.100000000000001" customHeight="1">
      <c r="A33" s="41" t="s">
        <v>61</v>
      </c>
      <c r="B33" s="42" t="s">
        <v>5</v>
      </c>
      <c r="C33" s="42" t="s">
        <v>37</v>
      </c>
      <c r="D33" s="42" t="s">
        <v>38</v>
      </c>
      <c r="E33" s="42" t="s">
        <v>25</v>
      </c>
      <c r="F33" s="43" t="s">
        <v>72</v>
      </c>
      <c r="G33" s="42" t="s">
        <v>39</v>
      </c>
      <c r="H33" s="42" t="s">
        <v>91</v>
      </c>
      <c r="I33" s="43" t="s">
        <v>26</v>
      </c>
      <c r="J33" s="44" t="s">
        <v>40</v>
      </c>
      <c r="K33" s="108" t="s">
        <v>87</v>
      </c>
      <c r="L33" s="321" t="s">
        <v>76</v>
      </c>
      <c r="M33" s="322"/>
      <c r="N33" s="185"/>
      <c r="O33" s="210"/>
      <c r="P33" s="207"/>
      <c r="Q33" s="8"/>
      <c r="R33" s="8"/>
      <c r="S33" s="8"/>
    </row>
    <row r="34" spans="1:19" ht="20.100000000000001" customHeight="1">
      <c r="A34" s="21" t="s">
        <v>8</v>
      </c>
      <c r="B34" s="22" t="s">
        <v>36</v>
      </c>
      <c r="C34" s="22" t="s">
        <v>8</v>
      </c>
      <c r="D34" s="22" t="s">
        <v>8</v>
      </c>
      <c r="E34" s="22" t="s">
        <v>15</v>
      </c>
      <c r="F34" s="22" t="s">
        <v>29</v>
      </c>
      <c r="G34" s="22" t="s">
        <v>27</v>
      </c>
      <c r="H34" s="22" t="s">
        <v>8</v>
      </c>
      <c r="I34" s="22" t="s">
        <v>27</v>
      </c>
      <c r="J34" s="24" t="s">
        <v>8</v>
      </c>
      <c r="K34" s="107" t="s">
        <v>86</v>
      </c>
      <c r="L34" s="45"/>
      <c r="M34" s="6"/>
      <c r="N34" s="137"/>
      <c r="O34" s="8"/>
      <c r="P34" s="8"/>
      <c r="Q34" s="8"/>
      <c r="R34" s="8"/>
      <c r="S34" s="8"/>
    </row>
    <row r="35" spans="1:19" ht="20.100000000000001" customHeight="1">
      <c r="A35" s="203">
        <f>IF($B$27&lt;=0,0,IF(OR(J17&lt;=0,J18&lt;=0),0,A36+$J$18/3))</f>
        <v>0</v>
      </c>
      <c r="B35" s="120">
        <f>IF(A35&lt;=0,0,IF(OR($J$17&lt;=0,$J$18&lt;=0),0,($B$26/1000+$B$26/1000-(2*(A35-$A$38)*$J$18/$J$17))/2*(A35-$A$38)+$B$38))</f>
        <v>0</v>
      </c>
      <c r="C35" s="118">
        <f>IF(A35&lt;=0,0,IF(OR(J17&lt;=0,J18&lt;=0),0,2*SQRT(POWER((A35-$A$38),2)+POWER((A35-$A$38)*$J$18/$J$17,2))+$C$38+IF(A35=B27/1000,B26/1000-2*J17)))</f>
        <v>0</v>
      </c>
      <c r="D35" s="120">
        <f t="shared" ref="D35:D54" si="0">IF(ISERROR(B35/C35),0,B35/C35)</f>
        <v>0</v>
      </c>
      <c r="E35" s="120">
        <f t="shared" ref="E35:E54" si="1">IF(ISERROR(-2*LOG(2.51*$B$9/(4*D35*SQRT(8*$B$8*D35*$B$6/1000))+$B$7/(1000*(14.84*D35)))*SQRT(8*$B$8*D35*$B$6/1000)),0,-2*LOG(2.51*$B$9/(4*D35*SQRT(8*$B$8*D35*$B$6/1000))+$B$7/(1000*(14.84*D35)))*SQRT(8*$B$8*D35*$B$6/1000))</f>
        <v>0</v>
      </c>
      <c r="F35" s="129">
        <f t="shared" ref="F35:F54" si="2">E35*B35</f>
        <v>0</v>
      </c>
      <c r="G35" s="130">
        <f>IF(ISERROR(F35/$F$29),0,F35/$F$29)</f>
        <v>0</v>
      </c>
      <c r="H35" s="123">
        <f>IF(A35&lt;=0,0,$B$26/1000-2*(A35-$A$38)*$J$18/$J$17)</f>
        <v>0</v>
      </c>
      <c r="I35" s="123">
        <f>IF(A35&lt;=0,0,SQRT(E35/$B$8*B35/H35))</f>
        <v>0</v>
      </c>
      <c r="J35" s="120">
        <f t="shared" ref="J35:J54" si="3">A35+POWER(E35,2)/(2*$B$8)</f>
        <v>0</v>
      </c>
      <c r="K35" s="124">
        <f t="shared" ref="K35:K60" si="4">9.81*$B$6*D35</f>
        <v>0</v>
      </c>
      <c r="L35" s="58"/>
      <c r="M35" s="333">
        <f>IF(AND(J17&lt;=0,J18&lt;=0),0,"Voute")</f>
        <v>0</v>
      </c>
      <c r="N35" s="330">
        <f>IF(AND(J17&lt;=0,J18&lt;=0),0,J17)</f>
        <v>0</v>
      </c>
      <c r="O35" s="8"/>
      <c r="P35" s="8"/>
      <c r="Q35" s="8"/>
      <c r="R35" s="8"/>
      <c r="S35" s="8"/>
    </row>
    <row r="36" spans="1:19" ht="20.100000000000001" customHeight="1">
      <c r="A36" s="202">
        <f>IF($B$27&lt;=0,0,IF(OR(J17&lt;=0,J18&lt;=0),0,A37+$J$18/3))</f>
        <v>0</v>
      </c>
      <c r="B36" s="118">
        <f>IF(A36&lt;=0,0,IF(OR($J$17&lt;=0,$J$18&lt;=0),0,($B$26/1000+$B$26/1000-(2*(A36-$A$38)*$J$18/$J$17))/2*(A36-$A$38)+$B$38))</f>
        <v>0</v>
      </c>
      <c r="C36" s="118">
        <f>IF(A36&lt;=0,0,IF(OR(J17&lt;=0,J18&lt;=0),0,2*SQRT(POWER((A36-$A$38),2)+POWER((A36-$A$38)*$J$18/$J$17,2))+$C$38))</f>
        <v>0</v>
      </c>
      <c r="D36" s="118">
        <f t="shared" si="0"/>
        <v>0</v>
      </c>
      <c r="E36" s="118">
        <f t="shared" si="1"/>
        <v>0</v>
      </c>
      <c r="F36" s="125">
        <f t="shared" si="2"/>
        <v>0</v>
      </c>
      <c r="G36" s="123">
        <f t="shared" ref="G36:G54" si="5">IF(ISERROR(F36/$F$29),0,F36/$F$29)</f>
        <v>0</v>
      </c>
      <c r="H36" s="123">
        <f>IF(A36&lt;=0,0,$B$26/1000-2*(A36-$A$38)*$J$18/$J$17)</f>
        <v>0</v>
      </c>
      <c r="I36" s="123">
        <f>IF(A36&lt;=0,0,SQRT(E36/$B$8*B36/H36))</f>
        <v>0</v>
      </c>
      <c r="J36" s="118">
        <f t="shared" si="3"/>
        <v>0</v>
      </c>
      <c r="K36" s="141">
        <f t="shared" si="4"/>
        <v>0</v>
      </c>
      <c r="L36" s="58"/>
      <c r="M36" s="333"/>
      <c r="N36" s="330"/>
      <c r="O36" s="8"/>
      <c r="P36" s="8"/>
      <c r="Q36" s="8"/>
      <c r="R36" s="8"/>
      <c r="S36" s="8"/>
    </row>
    <row r="37" spans="1:19" ht="20.100000000000001" customHeight="1">
      <c r="A37" s="266">
        <f>IF($B$27&lt;=0,0,IF(OR(J17&lt;=0,J18&lt;=0),0,A38+$J$18/3))</f>
        <v>0</v>
      </c>
      <c r="B37" s="126">
        <f>IF(A37&lt;=0,0,IF(OR($J$17&lt;=0,$J$18&lt;=0),0,($B$26/1000+$B$26/1000-(2*(A37-$A$38)*$J$18/$J$17))/2*(A37-$A$38)+$B$38))</f>
        <v>0</v>
      </c>
      <c r="C37" s="126">
        <f>IF(A37&lt;=0,0,2*SQRT(POWER((A37-$A$38),2)+POWER((A37-$A$38)*$J$18/$J$17,2))+$C$38)</f>
        <v>0</v>
      </c>
      <c r="D37" s="126">
        <f t="shared" si="0"/>
        <v>0</v>
      </c>
      <c r="E37" s="126">
        <f t="shared" si="1"/>
        <v>0</v>
      </c>
      <c r="F37" s="127">
        <f t="shared" si="2"/>
        <v>0</v>
      </c>
      <c r="G37" s="128">
        <f t="shared" si="5"/>
        <v>0</v>
      </c>
      <c r="H37" s="128">
        <f>IF(A37&lt;=0,0,$B$26/1000-2*(A37-$A$38)*$J$18/$J$17)</f>
        <v>0</v>
      </c>
      <c r="I37" s="128">
        <f>IF(A37&lt;=0,0,SQRT(E37/$B$8*B37/H37))</f>
        <v>0</v>
      </c>
      <c r="J37" s="126">
        <f t="shared" si="3"/>
        <v>0</v>
      </c>
      <c r="K37" s="131">
        <f t="shared" si="4"/>
        <v>0</v>
      </c>
      <c r="L37" s="58"/>
      <c r="M37" s="333"/>
      <c r="N37" s="330"/>
      <c r="O37" s="8"/>
      <c r="P37" s="8"/>
      <c r="Q37" s="8"/>
      <c r="R37" s="8"/>
      <c r="S37" s="8"/>
    </row>
    <row r="38" spans="1:19" ht="20.100000000000001" customHeight="1">
      <c r="A38" s="267">
        <f t="shared" ref="A38:A44" si="6">IF($B$27&lt;=0,0,($B$27/1000-$J$18-$J$21-$J$27)/7+A39)</f>
        <v>0</v>
      </c>
      <c r="B38" s="26">
        <f>IF(A38&lt;=0,0,(A38-$A$45)*$B$26/1000+$B$45)</f>
        <v>0</v>
      </c>
      <c r="C38" s="26">
        <f>IF(A38&lt;=0,0,2*(A38-$A$45)+$C$45+IF(A38=B27/1000,B26/1000))</f>
        <v>0</v>
      </c>
      <c r="D38" s="26">
        <f t="shared" si="0"/>
        <v>0</v>
      </c>
      <c r="E38" s="26">
        <f t="shared" si="1"/>
        <v>0</v>
      </c>
      <c r="F38" s="25">
        <f t="shared" si="2"/>
        <v>0</v>
      </c>
      <c r="G38" s="205">
        <f t="shared" si="5"/>
        <v>0</v>
      </c>
      <c r="H38" s="56">
        <f>IF(OR(B26&lt;=0,B27&lt;=0),0,$B$26/1000)</f>
        <v>0</v>
      </c>
      <c r="I38" s="205">
        <f t="shared" ref="I38:I44" si="7">IF(OR($B$26&lt;=0,A38&lt;=0),0,SQRT(E38/$B$8*B38/H38))</f>
        <v>0</v>
      </c>
      <c r="J38" s="26">
        <f>IF(OR($B$26&lt;=0,A39&lt;=0),0,A38+POWER(E38,2)/(2*$B$8))</f>
        <v>0</v>
      </c>
      <c r="K38" s="113">
        <f t="shared" si="4"/>
        <v>0</v>
      </c>
      <c r="L38" s="58"/>
      <c r="M38" s="334" t="s">
        <v>124</v>
      </c>
      <c r="N38" s="137"/>
      <c r="O38" s="8"/>
      <c r="P38" s="142"/>
      <c r="Q38" s="142"/>
      <c r="R38" s="8"/>
      <c r="S38" s="8"/>
    </row>
    <row r="39" spans="1:19" ht="20.100000000000001" customHeight="1">
      <c r="A39" s="268">
        <f t="shared" si="6"/>
        <v>0</v>
      </c>
      <c r="B39" s="26">
        <f t="shared" ref="B39:B44" si="8">IF(A39&lt;=0,0,(A39-$A$45)*$B$26/1000+$B$45)</f>
        <v>0</v>
      </c>
      <c r="C39" s="26">
        <f>IF(A39&lt;=0,0,2*(A39-$A$45)+$C$45+IF(A39=B27/1000,B26/1000))</f>
        <v>0</v>
      </c>
      <c r="D39" s="51">
        <f t="shared" si="0"/>
        <v>0</v>
      </c>
      <c r="E39" s="51">
        <f>IF(ISERROR(-2*LOG(2.51*$B$9/(4*D39*SQRT(8*$B$8*D39*$B$6/1000))+$B$7/(1000*(14.84*D39)))*SQRT(8*$B$8*D39*$B$6/1000)),0,-2*LOG(2.51*$B$9/(4*D39*SQRT(8*$B$8*D39*$B$6/1000))+$B$7/(1000*(14.84*D39)))*SQRT(8*$B$8*D39*$B$6/1000))</f>
        <v>0</v>
      </c>
      <c r="F39" s="52">
        <f t="shared" si="2"/>
        <v>0</v>
      </c>
      <c r="G39" s="204">
        <f t="shared" si="5"/>
        <v>0</v>
      </c>
      <c r="H39" s="50">
        <f>IF(OR(B26&lt;=0,B27&lt;=0),0,$B$26/1000)</f>
        <v>0</v>
      </c>
      <c r="I39" s="205">
        <f t="shared" si="7"/>
        <v>0</v>
      </c>
      <c r="J39" s="26">
        <f t="shared" ref="J39:J44" si="9">IF(OR($B$26&lt;=0,A40&lt;=0),0,A39+POWER(E39,2)/(2*$B$8))</f>
        <v>0</v>
      </c>
      <c r="K39" s="111">
        <f t="shared" si="4"/>
        <v>0</v>
      </c>
      <c r="L39" s="58"/>
      <c r="M39" s="334"/>
      <c r="N39" s="302">
        <f>IF(B26&lt;=0,0,B27/1000-J18-J21-J27)</f>
        <v>0</v>
      </c>
      <c r="O39" s="8"/>
      <c r="P39" s="8"/>
      <c r="Q39" s="8"/>
      <c r="R39" s="8"/>
      <c r="S39" s="8"/>
    </row>
    <row r="40" spans="1:19" ht="20.100000000000001" customHeight="1">
      <c r="A40" s="268">
        <f t="shared" si="6"/>
        <v>0</v>
      </c>
      <c r="B40" s="26">
        <f t="shared" si="8"/>
        <v>0</v>
      </c>
      <c r="C40" s="26">
        <f>IF(A40&lt;=0,0,2*(A40-$A$45)+$C$45+IF(A40=B27/1000,B26/1000))</f>
        <v>0</v>
      </c>
      <c r="D40" s="51">
        <f t="shared" si="0"/>
        <v>0</v>
      </c>
      <c r="E40" s="51">
        <f t="shared" si="1"/>
        <v>0</v>
      </c>
      <c r="F40" s="52">
        <f t="shared" si="2"/>
        <v>0</v>
      </c>
      <c r="G40" s="204">
        <f t="shared" si="5"/>
        <v>0</v>
      </c>
      <c r="H40" s="50">
        <f>IF(OR(B26&lt;=0,B27&lt;=0),0,$B$26/1000)</f>
        <v>0</v>
      </c>
      <c r="I40" s="205">
        <f t="shared" si="7"/>
        <v>0</v>
      </c>
      <c r="J40" s="26">
        <f t="shared" si="9"/>
        <v>0</v>
      </c>
      <c r="K40" s="111">
        <f t="shared" si="4"/>
        <v>0</v>
      </c>
      <c r="L40" s="58"/>
      <c r="M40" s="334"/>
      <c r="N40" s="302"/>
      <c r="O40" s="8"/>
      <c r="P40" s="8"/>
      <c r="Q40" s="8"/>
      <c r="R40" s="8"/>
      <c r="S40" s="8"/>
    </row>
    <row r="41" spans="1:19" ht="20.100000000000001" customHeight="1">
      <c r="A41" s="268">
        <f t="shared" si="6"/>
        <v>0</v>
      </c>
      <c r="B41" s="26">
        <f t="shared" si="8"/>
        <v>0</v>
      </c>
      <c r="C41" s="26">
        <f>IF(A41&lt;=0,0,2*(A41-$A$45)+$C$45+IF(A41=B27/1000,B26/1000))</f>
        <v>0</v>
      </c>
      <c r="D41" s="51">
        <f t="shared" si="0"/>
        <v>0</v>
      </c>
      <c r="E41" s="51">
        <f t="shared" si="1"/>
        <v>0</v>
      </c>
      <c r="F41" s="52">
        <f t="shared" si="2"/>
        <v>0</v>
      </c>
      <c r="G41" s="204">
        <f t="shared" si="5"/>
        <v>0</v>
      </c>
      <c r="H41" s="50">
        <f>IF(OR(B26&lt;=0,B27&lt;=0),0,$B$26/1000)</f>
        <v>0</v>
      </c>
      <c r="I41" s="205">
        <f t="shared" si="7"/>
        <v>0</v>
      </c>
      <c r="J41" s="26">
        <f t="shared" si="9"/>
        <v>0</v>
      </c>
      <c r="K41" s="111">
        <f t="shared" si="4"/>
        <v>0</v>
      </c>
      <c r="L41" s="58"/>
      <c r="M41" s="334"/>
      <c r="N41" s="302"/>
      <c r="O41" s="8"/>
      <c r="P41" s="8"/>
      <c r="Q41" s="8"/>
      <c r="R41" s="8"/>
      <c r="S41" s="8"/>
    </row>
    <row r="42" spans="1:19" ht="20.100000000000001" customHeight="1">
      <c r="A42" s="268">
        <f t="shared" si="6"/>
        <v>0</v>
      </c>
      <c r="B42" s="26">
        <f t="shared" si="8"/>
        <v>0</v>
      </c>
      <c r="C42" s="26">
        <f>IF(A42&lt;=0,0,2*(A42-$A$45)+$C$45+IF(A42=B27/1000,B26/1000))</f>
        <v>0</v>
      </c>
      <c r="D42" s="51">
        <f t="shared" si="0"/>
        <v>0</v>
      </c>
      <c r="E42" s="51">
        <f t="shared" si="1"/>
        <v>0</v>
      </c>
      <c r="F42" s="52">
        <f t="shared" si="2"/>
        <v>0</v>
      </c>
      <c r="G42" s="204">
        <f t="shared" si="5"/>
        <v>0</v>
      </c>
      <c r="H42" s="50">
        <f>IF(OR(B26&lt;=0,B27&lt;=0),0,$B$26/1000)</f>
        <v>0</v>
      </c>
      <c r="I42" s="205">
        <f t="shared" si="7"/>
        <v>0</v>
      </c>
      <c r="J42" s="26">
        <f t="shared" si="9"/>
        <v>0</v>
      </c>
      <c r="K42" s="111">
        <f t="shared" si="4"/>
        <v>0</v>
      </c>
      <c r="L42" s="58"/>
      <c r="M42" s="334"/>
      <c r="N42" s="302"/>
      <c r="O42" s="8"/>
      <c r="P42" s="8"/>
      <c r="Q42" s="8"/>
      <c r="R42" s="8"/>
      <c r="S42" s="8"/>
    </row>
    <row r="43" spans="1:19" ht="20.100000000000001" customHeight="1">
      <c r="A43" s="268">
        <f t="shared" si="6"/>
        <v>0</v>
      </c>
      <c r="B43" s="26">
        <f t="shared" si="8"/>
        <v>0</v>
      </c>
      <c r="C43" s="26">
        <f>IF(A43&lt;=0,0,2*(A43-$A$45)+$C$45+IF(A43=B27/1000,B26/1000))</f>
        <v>0</v>
      </c>
      <c r="D43" s="51">
        <f t="shared" si="0"/>
        <v>0</v>
      </c>
      <c r="E43" s="51">
        <f t="shared" si="1"/>
        <v>0</v>
      </c>
      <c r="F43" s="52">
        <f t="shared" si="2"/>
        <v>0</v>
      </c>
      <c r="G43" s="204">
        <f t="shared" si="5"/>
        <v>0</v>
      </c>
      <c r="H43" s="50">
        <f>IF(OR(B26&lt;=0,B27&lt;=0),0,$B$26/1000)</f>
        <v>0</v>
      </c>
      <c r="I43" s="205">
        <f t="shared" si="7"/>
        <v>0</v>
      </c>
      <c r="J43" s="26">
        <f t="shared" si="9"/>
        <v>0</v>
      </c>
      <c r="K43" s="111">
        <f t="shared" si="4"/>
        <v>0</v>
      </c>
      <c r="L43" s="58"/>
      <c r="M43" s="334"/>
      <c r="N43" s="302"/>
      <c r="O43" s="8"/>
      <c r="P43" s="8"/>
      <c r="Q43" s="8"/>
      <c r="R43" s="8"/>
      <c r="S43" s="8"/>
    </row>
    <row r="44" spans="1:19" ht="20.100000000000001" customHeight="1">
      <c r="A44" s="269">
        <f t="shared" si="6"/>
        <v>0</v>
      </c>
      <c r="B44" s="28">
        <f t="shared" si="8"/>
        <v>0</v>
      </c>
      <c r="C44" s="28">
        <f>IF(A44&lt;=0,0,2*(A44-$A$45)+$C$45+IF(A44=B27/1000,B26/1000))</f>
        <v>0</v>
      </c>
      <c r="D44" s="28">
        <f t="shared" si="0"/>
        <v>0</v>
      </c>
      <c r="E44" s="28">
        <f t="shared" si="1"/>
        <v>0</v>
      </c>
      <c r="F44" s="27">
        <f t="shared" si="2"/>
        <v>0</v>
      </c>
      <c r="G44" s="206">
        <f t="shared" si="5"/>
        <v>0</v>
      </c>
      <c r="H44" s="55">
        <f>IF(OR(B26&lt;=0,B27&lt;=0),0,$B$26/1000)</f>
        <v>0</v>
      </c>
      <c r="I44" s="206">
        <f t="shared" si="7"/>
        <v>0</v>
      </c>
      <c r="J44" s="28">
        <f t="shared" si="9"/>
        <v>0</v>
      </c>
      <c r="K44" s="110">
        <f t="shared" si="4"/>
        <v>0</v>
      </c>
      <c r="L44" s="58"/>
      <c r="M44" s="334"/>
      <c r="N44" s="137"/>
      <c r="O44" s="8"/>
      <c r="P44" s="8"/>
      <c r="Q44" s="8"/>
      <c r="R44" s="8"/>
      <c r="S44" s="8"/>
    </row>
    <row r="45" spans="1:19" ht="20.100000000000001" customHeight="1">
      <c r="A45" s="272">
        <f t="shared" ref="A45:A51" si="10">IF($B$27&lt;=0,0,$J$27/7+A46)</f>
        <v>0</v>
      </c>
      <c r="B45" s="119">
        <f t="shared" ref="B45:B51" si="11">IF(A45&lt;=0,0,(2*(A45-$A$52)*$J$24+2*$J$22)/2*(A45-$A$52)+$B$52)</f>
        <v>0</v>
      </c>
      <c r="C45" s="119">
        <f t="shared" ref="C45:C51" si="12">IF(A45&lt;=0,0,2*SQRT(POWER((A45-$A$52),2)+POWER((A45-$A$52)*$J$24,2))+$C$52)</f>
        <v>0</v>
      </c>
      <c r="D45" s="119">
        <f t="shared" si="0"/>
        <v>0</v>
      </c>
      <c r="E45" s="119">
        <f t="shared" si="1"/>
        <v>0</v>
      </c>
      <c r="F45" s="121">
        <f t="shared" si="2"/>
        <v>0</v>
      </c>
      <c r="G45" s="122">
        <f t="shared" si="5"/>
        <v>0</v>
      </c>
      <c r="H45" s="245">
        <f>IF(OR(B26&lt;=0,B27&lt;=0),0,2*(A45-$A$52)*$J$24+$J$22)</f>
        <v>0</v>
      </c>
      <c r="I45" s="122">
        <f t="shared" ref="I45:I54" si="13">IF(A45&lt;=0,0,SQRT(E45/$B$8*B45/H45))</f>
        <v>0</v>
      </c>
      <c r="J45" s="119">
        <f t="shared" si="3"/>
        <v>0</v>
      </c>
      <c r="K45" s="124">
        <f t="shared" si="4"/>
        <v>0</v>
      </c>
      <c r="L45" s="58"/>
      <c r="M45" s="6"/>
      <c r="N45" s="137"/>
      <c r="O45" s="8"/>
      <c r="P45" s="8"/>
      <c r="Q45" s="8"/>
      <c r="R45" s="8"/>
      <c r="S45" s="8"/>
    </row>
    <row r="46" spans="1:19" ht="20.100000000000001" customHeight="1">
      <c r="A46" s="202">
        <f t="shared" si="10"/>
        <v>0</v>
      </c>
      <c r="B46" s="118">
        <f t="shared" si="11"/>
        <v>0</v>
      </c>
      <c r="C46" s="118">
        <f t="shared" si="12"/>
        <v>0</v>
      </c>
      <c r="D46" s="118">
        <f t="shared" si="0"/>
        <v>0</v>
      </c>
      <c r="E46" s="118">
        <f t="shared" si="1"/>
        <v>0</v>
      </c>
      <c r="F46" s="125">
        <f t="shared" si="2"/>
        <v>0</v>
      </c>
      <c r="G46" s="123">
        <f t="shared" si="5"/>
        <v>0</v>
      </c>
      <c r="H46" s="250">
        <f>IF(OR(B26&lt;=0,B27&lt;=0),0,2*(A46-$A$52)*$J$24+$J$22)</f>
        <v>0</v>
      </c>
      <c r="I46" s="122">
        <f t="shared" si="13"/>
        <v>0</v>
      </c>
      <c r="J46" s="118">
        <f t="shared" si="3"/>
        <v>0</v>
      </c>
      <c r="K46" s="141">
        <f t="shared" si="4"/>
        <v>0</v>
      </c>
      <c r="L46" s="58"/>
      <c r="M46" s="6"/>
      <c r="N46" s="186"/>
      <c r="O46" s="210"/>
      <c r="P46" s="8"/>
      <c r="Q46" s="142"/>
      <c r="R46" s="8"/>
      <c r="S46" s="8"/>
    </row>
    <row r="47" spans="1:19" ht="20.100000000000001" customHeight="1">
      <c r="A47" s="202">
        <f t="shared" si="10"/>
        <v>0</v>
      </c>
      <c r="B47" s="118">
        <f t="shared" si="11"/>
        <v>0</v>
      </c>
      <c r="C47" s="118">
        <f t="shared" si="12"/>
        <v>0</v>
      </c>
      <c r="D47" s="118">
        <f t="shared" si="0"/>
        <v>0</v>
      </c>
      <c r="E47" s="118">
        <f t="shared" si="1"/>
        <v>0</v>
      </c>
      <c r="F47" s="125">
        <f t="shared" si="2"/>
        <v>0</v>
      </c>
      <c r="G47" s="123">
        <f t="shared" si="5"/>
        <v>0</v>
      </c>
      <c r="H47" s="250">
        <f>IF(OR(B26&lt;=0,B27&lt;=0),0,2*(A47-$A$52)*$J$24+$J$22)</f>
        <v>0</v>
      </c>
      <c r="I47" s="122">
        <f t="shared" si="13"/>
        <v>0</v>
      </c>
      <c r="J47" s="118">
        <f t="shared" si="3"/>
        <v>0</v>
      </c>
      <c r="K47" s="141">
        <f t="shared" si="4"/>
        <v>0</v>
      </c>
      <c r="L47" s="58"/>
      <c r="M47" s="334" t="s">
        <v>78</v>
      </c>
      <c r="N47" s="302">
        <f>IF(B26&lt;=0,0,J26)</f>
        <v>0</v>
      </c>
      <c r="O47" s="210"/>
      <c r="P47" s="207"/>
      <c r="Q47" s="8"/>
      <c r="R47" s="8"/>
      <c r="S47" s="8"/>
    </row>
    <row r="48" spans="1:19" ht="20.100000000000001" customHeight="1">
      <c r="A48" s="202">
        <f t="shared" si="10"/>
        <v>0</v>
      </c>
      <c r="B48" s="118">
        <f t="shared" si="11"/>
        <v>0</v>
      </c>
      <c r="C48" s="118">
        <f t="shared" si="12"/>
        <v>0</v>
      </c>
      <c r="D48" s="118">
        <f t="shared" si="0"/>
        <v>0</v>
      </c>
      <c r="E48" s="118">
        <f t="shared" si="1"/>
        <v>0</v>
      </c>
      <c r="F48" s="125">
        <f t="shared" si="2"/>
        <v>0</v>
      </c>
      <c r="G48" s="123">
        <f t="shared" si="5"/>
        <v>0</v>
      </c>
      <c r="H48" s="250">
        <f>IF(OR(B26&lt;=0,B27&lt;=0),0,2*(A48-$A$52)*$J$24+$J$22)</f>
        <v>0</v>
      </c>
      <c r="I48" s="122">
        <f t="shared" si="13"/>
        <v>0</v>
      </c>
      <c r="J48" s="118">
        <f t="shared" si="3"/>
        <v>0</v>
      </c>
      <c r="K48" s="141">
        <f t="shared" si="4"/>
        <v>0</v>
      </c>
      <c r="L48" s="58"/>
      <c r="M48" s="334"/>
      <c r="N48" s="302"/>
      <c r="O48" s="210"/>
      <c r="P48" s="8"/>
      <c r="Q48" s="8"/>
      <c r="R48" s="8"/>
      <c r="S48" s="8"/>
    </row>
    <row r="49" spans="1:24" ht="20.100000000000001" customHeight="1">
      <c r="A49" s="202">
        <f t="shared" si="10"/>
        <v>0</v>
      </c>
      <c r="B49" s="118">
        <f t="shared" si="11"/>
        <v>0</v>
      </c>
      <c r="C49" s="118">
        <f t="shared" si="12"/>
        <v>0</v>
      </c>
      <c r="D49" s="118">
        <f t="shared" si="0"/>
        <v>0</v>
      </c>
      <c r="E49" s="118">
        <f t="shared" si="1"/>
        <v>0</v>
      </c>
      <c r="F49" s="125">
        <f t="shared" si="2"/>
        <v>0</v>
      </c>
      <c r="G49" s="123">
        <f t="shared" si="5"/>
        <v>0</v>
      </c>
      <c r="H49" s="250">
        <f>IF(OR(B26&lt;=0,B27&lt;=0),0,2*(A49-$A$52)*$J$24+$J$22)</f>
        <v>0</v>
      </c>
      <c r="I49" s="122">
        <f t="shared" si="13"/>
        <v>0</v>
      </c>
      <c r="J49" s="118">
        <f t="shared" si="3"/>
        <v>0</v>
      </c>
      <c r="K49" s="141">
        <f t="shared" si="4"/>
        <v>0</v>
      </c>
      <c r="L49" s="58"/>
      <c r="M49" s="334"/>
      <c r="N49" s="302"/>
      <c r="O49" s="210"/>
      <c r="P49" s="207"/>
      <c r="Q49" s="176"/>
      <c r="R49" s="8"/>
      <c r="S49" s="8"/>
    </row>
    <row r="50" spans="1:24" ht="20.100000000000001" customHeight="1">
      <c r="A50" s="202">
        <f t="shared" si="10"/>
        <v>0</v>
      </c>
      <c r="B50" s="118">
        <f t="shared" si="11"/>
        <v>0</v>
      </c>
      <c r="C50" s="118">
        <f t="shared" si="12"/>
        <v>0</v>
      </c>
      <c r="D50" s="118">
        <f t="shared" si="0"/>
        <v>0</v>
      </c>
      <c r="E50" s="118">
        <f t="shared" si="1"/>
        <v>0</v>
      </c>
      <c r="F50" s="125">
        <f t="shared" si="2"/>
        <v>0</v>
      </c>
      <c r="G50" s="123">
        <f t="shared" si="5"/>
        <v>0</v>
      </c>
      <c r="H50" s="250">
        <f>IF(OR(B26&lt;=0,B27&lt;=0),0,2*(A50-$A$52)*$J$24+$J$22)</f>
        <v>0</v>
      </c>
      <c r="I50" s="122">
        <f t="shared" si="13"/>
        <v>0</v>
      </c>
      <c r="J50" s="118">
        <f t="shared" si="3"/>
        <v>0</v>
      </c>
      <c r="K50" s="141">
        <f t="shared" si="4"/>
        <v>0</v>
      </c>
      <c r="L50" s="58"/>
      <c r="M50" s="6"/>
      <c r="N50" s="246"/>
      <c r="O50" s="8"/>
      <c r="P50" s="8"/>
      <c r="Q50" s="176"/>
      <c r="R50" s="8"/>
      <c r="S50" s="8"/>
    </row>
    <row r="51" spans="1:24" ht="20.100000000000001" customHeight="1">
      <c r="A51" s="273">
        <f t="shared" si="10"/>
        <v>0</v>
      </c>
      <c r="B51" s="126">
        <f t="shared" si="11"/>
        <v>0</v>
      </c>
      <c r="C51" s="126">
        <f t="shared" si="12"/>
        <v>0</v>
      </c>
      <c r="D51" s="248">
        <f t="shared" si="0"/>
        <v>0</v>
      </c>
      <c r="E51" s="248">
        <f t="shared" si="1"/>
        <v>0</v>
      </c>
      <c r="F51" s="249">
        <f t="shared" si="2"/>
        <v>0</v>
      </c>
      <c r="G51" s="128">
        <f t="shared" si="5"/>
        <v>0</v>
      </c>
      <c r="H51" s="250">
        <f>IF(OR(B26&lt;=0,B27&lt;=0),0,2*(A51-$A$52)*$J$24+$J$22)</f>
        <v>0</v>
      </c>
      <c r="I51" s="128">
        <f t="shared" si="13"/>
        <v>0</v>
      </c>
      <c r="J51" s="248">
        <f t="shared" si="3"/>
        <v>0</v>
      </c>
      <c r="K51" s="251">
        <f t="shared" si="4"/>
        <v>0</v>
      </c>
      <c r="L51" s="58"/>
      <c r="M51" s="94"/>
      <c r="N51" s="246"/>
      <c r="O51" s="78"/>
      <c r="P51" s="6"/>
      <c r="Q51" s="8"/>
      <c r="R51" s="8"/>
      <c r="S51" s="8"/>
      <c r="T51" s="96"/>
    </row>
    <row r="52" spans="1:24" ht="20.100000000000001" customHeight="1">
      <c r="A52" s="274">
        <f>IF(B27&lt;=0,0,$J$21/3+A53)</f>
        <v>0</v>
      </c>
      <c r="B52" s="71">
        <f>IF(A52&lt;=0,0,POWER($J$20,2)/2*(2*ACOS(1-A52/$J$20)*180/PI()*PI()/180-SIN(2*ACOS(1-A52/$J$20))))</f>
        <v>0</v>
      </c>
      <c r="C52" s="71">
        <f>IF(A52&lt;=0,0,$J$20*2*ACOS(1-A52/$J$20))</f>
        <v>0</v>
      </c>
      <c r="D52" s="71">
        <f t="shared" si="0"/>
        <v>0</v>
      </c>
      <c r="E52" s="71">
        <f t="shared" si="1"/>
        <v>0</v>
      </c>
      <c r="F52" s="72">
        <f t="shared" si="2"/>
        <v>0</v>
      </c>
      <c r="G52" s="205">
        <f t="shared" si="5"/>
        <v>0</v>
      </c>
      <c r="H52" s="214">
        <f>IF(A52&lt;=0,0,2*$J$20*SIN(2*ACOS(1-A52/$J$20)*180/PI()/2*PI()/180))</f>
        <v>0</v>
      </c>
      <c r="I52" s="205">
        <f t="shared" si="13"/>
        <v>0</v>
      </c>
      <c r="J52" s="71">
        <f t="shared" si="3"/>
        <v>0</v>
      </c>
      <c r="K52" s="242">
        <f t="shared" si="4"/>
        <v>0</v>
      </c>
      <c r="L52" s="58"/>
      <c r="M52" s="336" t="s">
        <v>77</v>
      </c>
      <c r="N52" s="302">
        <f>IF(B26&lt;=0,0,J21)</f>
        <v>0</v>
      </c>
      <c r="O52" s="34"/>
      <c r="P52" s="232"/>
      <c r="Q52" s="8"/>
      <c r="R52" s="8"/>
      <c r="S52" s="8"/>
    </row>
    <row r="53" spans="1:24" ht="20.100000000000001" customHeight="1">
      <c r="A53" s="275">
        <f>IF(B27&lt;=0,0,$J$21/3+A54)</f>
        <v>0</v>
      </c>
      <c r="B53" s="247">
        <f>IF(A53&lt;=0,0,POWER($J$20,2)/2*(2*ACOS(1-A53/$J$20)*180/PI()*PI()/180-SIN(2*ACOS(1-A53/$J$20))))</f>
        <v>0</v>
      </c>
      <c r="C53" s="247">
        <f>IF(A53&lt;=0,0,$J$20*2*ACOS(1-A53/$J$20))</f>
        <v>0</v>
      </c>
      <c r="D53" s="247">
        <f>IF(ISERROR(B53/C53),0,B53/C53)</f>
        <v>0</v>
      </c>
      <c r="E53" s="247">
        <f t="shared" si="1"/>
        <v>0</v>
      </c>
      <c r="F53" s="86">
        <f>E53*B53</f>
        <v>0</v>
      </c>
      <c r="G53" s="204">
        <f t="shared" si="5"/>
        <v>0</v>
      </c>
      <c r="H53" s="204">
        <f>IF(A53&lt;=0,0,2*$J$20*SIN(2*ACOS(1-A53/$J$20)*180/PI()/2*PI()/180))</f>
        <v>0</v>
      </c>
      <c r="I53" s="205">
        <f t="shared" si="13"/>
        <v>0</v>
      </c>
      <c r="J53" s="247">
        <f>A53+POWER(E53,2)/(2*$B$8)</f>
        <v>0</v>
      </c>
      <c r="K53" s="239">
        <f>9.81*$B$6*D53</f>
        <v>0</v>
      </c>
      <c r="L53" s="58"/>
      <c r="M53" s="336"/>
      <c r="N53" s="302"/>
      <c r="O53" s="34"/>
      <c r="P53" s="232"/>
      <c r="Q53" s="8"/>
      <c r="R53" s="8"/>
      <c r="S53" s="8"/>
    </row>
    <row r="54" spans="1:24" ht="20.100000000000001" customHeight="1">
      <c r="A54" s="276">
        <f>IF(B27&lt;=0,0,$J$21/3)</f>
        <v>0</v>
      </c>
      <c r="B54" s="73">
        <f>IF(A54&lt;=0,0,POWER($J$20,2)/2*(2*ACOS(1-A54/$J$20)*180/PI()*PI()/180-SIN(2*ACOS(1-A54/$J$20))))</f>
        <v>0</v>
      </c>
      <c r="C54" s="73">
        <f>IF(A54&lt;=0,0,$J$20*2*ACOS(1-A54/$J$20))</f>
        <v>0</v>
      </c>
      <c r="D54" s="73">
        <f t="shared" si="0"/>
        <v>0</v>
      </c>
      <c r="E54" s="73">
        <f t="shared" si="1"/>
        <v>0</v>
      </c>
      <c r="F54" s="74">
        <f t="shared" si="2"/>
        <v>0</v>
      </c>
      <c r="G54" s="206">
        <f t="shared" si="5"/>
        <v>0</v>
      </c>
      <c r="H54" s="206">
        <f>IF(A54&lt;=0,0,2*$J$20*SIN(2*ACOS(1-A54/$J$20)*180/PI()/2*PI()/180))</f>
        <v>0</v>
      </c>
      <c r="I54" s="206">
        <f t="shared" si="13"/>
        <v>0</v>
      </c>
      <c r="J54" s="73">
        <f t="shared" si="3"/>
        <v>0</v>
      </c>
      <c r="K54" s="241">
        <f t="shared" si="4"/>
        <v>0</v>
      </c>
      <c r="L54" s="58"/>
      <c r="M54" s="336"/>
      <c r="N54" s="302"/>
      <c r="O54" s="34"/>
      <c r="P54" s="232"/>
      <c r="Q54" s="8"/>
      <c r="R54" s="8"/>
      <c r="S54" s="8"/>
    </row>
    <row r="55" spans="1:24" ht="15" customHeight="1">
      <c r="A55" s="57"/>
      <c r="B55" s="58"/>
      <c r="C55" s="58"/>
      <c r="D55" s="58"/>
      <c r="E55" s="58"/>
      <c r="F55" s="58"/>
      <c r="G55" s="59"/>
      <c r="H55" s="59"/>
      <c r="I55" s="59"/>
      <c r="J55" s="59"/>
      <c r="K55" s="59">
        <f t="shared" si="4"/>
        <v>0</v>
      </c>
      <c r="L55" s="58"/>
      <c r="M55" s="6"/>
      <c r="N55" s="137"/>
      <c r="O55" s="34"/>
      <c r="P55" s="232"/>
      <c r="Q55" s="8"/>
      <c r="R55" s="8"/>
      <c r="S55" s="8"/>
      <c r="V55" s="8"/>
      <c r="W55" s="8"/>
      <c r="X55" s="8"/>
    </row>
    <row r="56" spans="1:24" ht="20.100000000000001" customHeight="1">
      <c r="A56" s="299" t="s">
        <v>131</v>
      </c>
      <c r="B56" s="58"/>
      <c r="C56" s="58"/>
      <c r="D56" s="58"/>
      <c r="E56" s="58"/>
      <c r="F56" s="58"/>
      <c r="G56" s="59"/>
      <c r="H56" s="59"/>
      <c r="I56" s="59"/>
      <c r="J56" s="59"/>
      <c r="K56" s="59"/>
      <c r="L56" s="58"/>
      <c r="M56" s="6"/>
      <c r="N56" s="137"/>
      <c r="O56" s="34"/>
      <c r="P56" s="232"/>
      <c r="Q56" s="8"/>
      <c r="R56" s="8"/>
      <c r="S56" s="8"/>
      <c r="V56" s="8"/>
      <c r="W56" s="8"/>
      <c r="X56" s="8"/>
    </row>
    <row r="57" spans="1:24" ht="20.100000000000001" customHeight="1">
      <c r="A57" s="313" t="s">
        <v>73</v>
      </c>
      <c r="B57" s="314"/>
      <c r="C57" s="314"/>
      <c r="D57" s="60"/>
      <c r="E57" s="60"/>
      <c r="F57" s="60"/>
      <c r="G57" s="11"/>
      <c r="H57" s="11"/>
      <c r="I57" s="11"/>
      <c r="J57" s="59"/>
      <c r="K57" s="59">
        <f t="shared" si="4"/>
        <v>0</v>
      </c>
      <c r="L57" s="58"/>
      <c r="M57" s="92"/>
      <c r="N57" s="137"/>
      <c r="O57" s="34"/>
      <c r="P57" s="232"/>
      <c r="Q57" s="8"/>
      <c r="R57" s="8"/>
      <c r="S57" s="8"/>
      <c r="V57" s="8"/>
      <c r="W57" s="8"/>
      <c r="X57" s="8"/>
    </row>
    <row r="58" spans="1:24" ht="20.100000000000001" customHeight="1">
      <c r="A58" s="132"/>
      <c r="B58" s="81">
        <f>IF(OR(B26&lt;=0,B27&lt;=0,A58&lt;=0),0,IF(AND(A58&gt;0,A58&lt;=$A$52),POWER($J$20,2)/2*(2*ACOS(1-A58/$J$20)*180/PI()*PI()/180-SIN(2*ACOS(1-A58/$J$20))),IF(AND(A58&gt;$A$52,A58&lt;=$A$45),(2*(A58-$A$52)*$J$24+2*$J$22)/2*(A58-$A$52)+$B$52,IF(AND(A58&gt;$A$45,A58&lt;=$A$38),(A58-$A$45)*$B$26/1000+$B$45,IF(AND(A58&gt;$A$38,A58&lt;=$A$35),($B$26/1000+$B$26/1000-(2*(A58-$A$38)*$J$18/$J$17))/2*(A58-$A$38)+$B$38)))))</f>
        <v>0</v>
      </c>
      <c r="C58" s="81">
        <f>IF(OR(B26&lt;=0,B27&lt;=0,A58&lt;=0),0,IF(AND(A58&gt;0,A58&lt;=$A$52),$J$20*2*ACOS(1-A58/$J$20),IF(AND(A58&gt;$A$52,A58&lt;=$A$45),2*SQRT(POWER((A58-$A$52),2)+POWER((A58-$A$52)*$J$24,2))+$C$52,IF(AND(A58&gt;$A$45,A58&lt;=$A$38),2*(A58-$A$45)+$C$45,IF(AND(A58&gt;$A$38,A58&lt;=$A$35),2*SQRT(POWER((A58-$A$38),2)+POWER((A58-$A$38)*$J$18/$J$17,2))+$C$38+IF(A58=$B$27/1000,$B$26/1000-2*$J$17))))))</f>
        <v>0</v>
      </c>
      <c r="D58" s="81">
        <f>IF(ISERROR(B58/C58),0,B58/C58)</f>
        <v>0</v>
      </c>
      <c r="E58" s="81">
        <f>IF(ISERROR(-2*LOG(2.51*$B$9/(4*D58*SQRT(8*$B$8*D58*$B$6/1000))+$B$7/(1000*(14.84*D58)))*SQRT(8*$B$8*D58*$B$6/1000)),0,-2*LOG(2.51*$B$9/(4*D58*SQRT(8*$B$8*D58*$B$6/1000))+$B$7/(1000*(14.84*D58)))*SQRT(8*$B$8*D58*$B$6/1000))</f>
        <v>0</v>
      </c>
      <c r="F58" s="82">
        <f>E58*B58</f>
        <v>0</v>
      </c>
      <c r="G58" s="208">
        <f>IF(ISERROR(F58/$F$29),0,F58/$F$29)</f>
        <v>0</v>
      </c>
      <c r="H58" s="83">
        <f>IF(OR(B26&lt;=0,B27&lt;=0,A58&lt;=0),0,IF(AND(A58&gt;0,A58&lt;=$A$52),2*$J$20*SIN(2*ACOS(1-A58/$J$20)*180/PI()/2*PI()/180),IF(AND(A58&gt;$A$52,A58&lt;=$A$45),2*(A58-$A$52)*$J$24+$J$22,IF(AND(A58&gt;$A$45,A58&lt;=$A$38),$B$26/1000,IF(AND(A58&gt;$A$38,A58&lt;=$A$35),$B$26/1000-2*(A58-$A$38)*$J$18/$J$17)))))</f>
        <v>0</v>
      </c>
      <c r="I58" s="208">
        <f>IF(OR(B26&lt;=0,B27&lt;=0,A58&lt;=0),0,SQRT(E58/$B$8*B58/H58))</f>
        <v>0</v>
      </c>
      <c r="J58" s="87">
        <f>IF(OR(B26&lt;=0,B27&lt;=0,A58&lt;=0),0,A58+POWER(E58,2)/(2*$B$8))</f>
        <v>0</v>
      </c>
      <c r="K58" s="115">
        <f t="shared" si="4"/>
        <v>0</v>
      </c>
      <c r="L58" s="14"/>
      <c r="M58" s="7"/>
      <c r="N58" s="137"/>
      <c r="O58" s="34"/>
      <c r="P58" s="6"/>
      <c r="Q58" s="14"/>
      <c r="R58" s="14"/>
      <c r="S58" s="14"/>
      <c r="T58" s="14"/>
      <c r="U58" s="8"/>
      <c r="V58" s="8"/>
      <c r="W58" s="8"/>
      <c r="X58" s="8"/>
    </row>
    <row r="59" spans="1:24" ht="20.100000000000001" customHeight="1">
      <c r="A59" s="343" t="s">
        <v>114</v>
      </c>
      <c r="B59" s="344"/>
      <c r="C59" s="344"/>
      <c r="D59" s="344"/>
      <c r="E59" s="344"/>
      <c r="F59" s="344"/>
      <c r="G59" s="252"/>
      <c r="H59" s="252"/>
      <c r="I59" s="252"/>
      <c r="J59" s="253"/>
      <c r="K59" s="31"/>
      <c r="L59" s="14"/>
      <c r="M59" s="7"/>
      <c r="N59" s="137"/>
      <c r="O59" s="8"/>
      <c r="P59" s="14"/>
      <c r="Q59" s="14"/>
      <c r="R59" s="14"/>
      <c r="S59" s="14"/>
      <c r="T59" s="14"/>
      <c r="U59" s="8"/>
      <c r="V59" s="8"/>
      <c r="W59" s="8"/>
      <c r="X59" s="8"/>
    </row>
    <row r="60" spans="1:24" ht="20.100000000000001" customHeight="1">
      <c r="A60" s="132"/>
      <c r="B60" s="283">
        <f>IF(OR(B26&lt;=0,B27&lt;=0,A60&lt;=0),0,IF(AND(A60&gt;0,A60&lt;=$A$52),POWER($J$20,2)/2*(2*ACOS(1-A60/$J$20)*180/PI()*PI()/180-SIN(2*ACOS(1-A60/$J$20))),IF(AND(A60&gt;$A$52,A60&lt;=$A$45),(2*(A60-$A$52)*$J$24+2*$J$22)/2*(A60-$A$52)+$B$52,IF(AND(A60&gt;$A$45,A60&lt;=$A$38),(A60-$A$45)*$B$26/1000+$B$45,IF(AND(A60&gt;$A$38,A60&lt;=$A$35),($B$26/1000+$B$26/1000-(2*(A60-$A$38)*$J$18/$J$17))/2*(A60-$A$38)+$B$38)))))</f>
        <v>0</v>
      </c>
      <c r="C60" s="283">
        <f>IF(OR(B26&lt;=0,B27&lt;=0,A60&lt;=0),0,IF(AND(A60&gt;0,A60&lt;=$A$52),$J$20*2*ACOS(1-A60/$J$20),IF(AND(A60&gt;$A$52,A60&lt;=$A$45),2*SQRT(POWER((A60-$A$52),2)+POWER((A60-$A$52)*$J$24,2))+$C$52,IF(AND(A60&gt;$A$45,A60&lt;=$A$38),2*(A60-$A$45)+$C$45,IF(AND(A60&gt;$A$38,A60&lt;=$A$35),2*SQRT(POWER((A60-$A$38),2)+POWER((A60-$A$38)*$J$18/$J$17,2))+$C$38+IF(A60=$B$27/1000,$B$26/1000-2*$J$17))))))</f>
        <v>0</v>
      </c>
      <c r="D60" s="283">
        <f>IF(ISERROR(B60/C60),0,B60/C60)</f>
        <v>0</v>
      </c>
      <c r="E60" s="283">
        <f>IF(ISERROR(IF(A60&lt;=0,0,-2*LOG(2.51*$B$9/(4*D60*SQRT(8*$B$8*D60*$B$6/1000))+$B$7/(1000*(14.84*D60)))*SQRT(8*$B$8*D60*$B$6/1000))),0,IF(A60&lt;=0,0,-2*LOG(2.51*$B$9/(4*D60*SQRT(8*$B$8*D60*$B$6/1000))+$B$7/(1000*(14.84*D60)))*SQRT(8*$B$8*D60*$B$6/1000)))</f>
        <v>0</v>
      </c>
      <c r="F60" s="284">
        <f>E60*B60</f>
        <v>0</v>
      </c>
      <c r="G60" s="228">
        <f>IF(ISERROR(F60/$F$29),0,F60/$F$29)</f>
        <v>0</v>
      </c>
      <c r="H60" s="228">
        <f>IF(OR(B26&lt;=0,B27&lt;=0,A60&lt;=0),0,IF(AND(A60&gt;0,A60&lt;=$A$52),2*$J$20*SIN(2*ACOS(1-A60/$J$20)*180/PI()/2*PI()/180),IF(AND(A60&gt;$A$52,A60&lt;=$A$45),2*(A60-$A$52)*$J$24+$J$22,IF(AND(A60&gt;$A$45,A60&lt;=$A$38),$B$26/1000,IF(AND(A60&gt;$A$38,A60&lt;=$A$35),$B$26/1000-2*(A60-$A$38)*$J$18/$J$17)))))</f>
        <v>0</v>
      </c>
      <c r="I60" s="228">
        <f>IF(OR(B26&lt;=0,B27&lt;=0,A60&lt;=0),0,SQRT(E60/$B$8*B60/H60))</f>
        <v>0</v>
      </c>
      <c r="J60" s="287">
        <f>IF(OR(B26&lt;=0,B27&lt;=0,A60&lt;=0),0,A60+POWER(E60,2)/(2*$B$8))</f>
        <v>0</v>
      </c>
      <c r="K60" s="286">
        <f t="shared" si="4"/>
        <v>0</v>
      </c>
      <c r="L60" s="14"/>
      <c r="M60" s="7"/>
      <c r="N60" s="137"/>
      <c r="O60" s="8"/>
      <c r="P60" s="14"/>
      <c r="Q60" s="14"/>
      <c r="R60" s="14"/>
      <c r="S60" s="14"/>
      <c r="T60" s="14"/>
      <c r="U60" s="14"/>
      <c r="V60" s="14"/>
      <c r="W60" s="14"/>
      <c r="X60" s="8"/>
    </row>
    <row r="61" spans="1:24" ht="15" customHeight="1">
      <c r="A61" s="61"/>
      <c r="B61" s="60"/>
      <c r="C61" s="60"/>
      <c r="D61" s="60"/>
      <c r="E61" s="60"/>
      <c r="F61" s="60"/>
      <c r="G61" s="11"/>
      <c r="H61" s="11"/>
      <c r="I61" s="11"/>
      <c r="J61" s="6"/>
      <c r="K61" s="6"/>
      <c r="L61" s="6"/>
      <c r="M61" s="6"/>
      <c r="N61" s="137"/>
      <c r="O61" s="8"/>
      <c r="P61" s="8"/>
      <c r="Q61" s="8"/>
      <c r="R61" s="8"/>
      <c r="S61" s="8"/>
      <c r="V61" s="8"/>
      <c r="W61" s="8"/>
      <c r="X61" s="8"/>
    </row>
    <row r="62" spans="1:24" ht="20.100000000000001" customHeight="1">
      <c r="A62" s="62" t="s">
        <v>50</v>
      </c>
      <c r="B62" s="52">
        <f>IF(J60&lt;J30,J60,0)</f>
        <v>0</v>
      </c>
      <c r="C62" s="16" t="s">
        <v>65</v>
      </c>
      <c r="D62" s="34" t="s">
        <v>51</v>
      </c>
      <c r="E62" s="52">
        <f>IF(J30&gt;J60,J30,0)</f>
        <v>0</v>
      </c>
      <c r="F62" s="6" t="s">
        <v>8</v>
      </c>
      <c r="G62" s="6"/>
      <c r="H62" s="6"/>
      <c r="I62" s="6"/>
      <c r="J62" s="6"/>
      <c r="K62" s="6"/>
      <c r="L62" s="6"/>
      <c r="M62" s="6"/>
      <c r="N62" s="137"/>
      <c r="O62" s="8"/>
      <c r="P62" s="8"/>
      <c r="Q62" s="8"/>
      <c r="R62" s="8"/>
      <c r="S62" s="8"/>
      <c r="V62" s="8"/>
      <c r="W62" s="8"/>
      <c r="X62" s="8"/>
    </row>
    <row r="63" spans="1:24" ht="20.100000000000001" customHeight="1">
      <c r="A63" s="63"/>
      <c r="B63" s="6" t="s">
        <v>52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37"/>
      <c r="O63" s="8"/>
      <c r="P63" s="8"/>
      <c r="Q63" s="8"/>
      <c r="R63" s="8"/>
      <c r="S63" s="8"/>
      <c r="V63" s="8"/>
      <c r="W63" s="8"/>
      <c r="X63" s="8"/>
    </row>
    <row r="64" spans="1:24" ht="15" customHeight="1">
      <c r="A64" s="6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37"/>
      <c r="O64" s="8"/>
      <c r="P64" s="8"/>
      <c r="Q64" s="8"/>
      <c r="R64" s="8"/>
      <c r="S64" s="8"/>
    </row>
    <row r="65" spans="1:19" ht="20.100000000000001" customHeight="1">
      <c r="A65" s="62" t="s">
        <v>50</v>
      </c>
      <c r="B65" s="52">
        <f>IF(J60&gt;=J30,J60,0)</f>
        <v>0</v>
      </c>
      <c r="C65" s="16" t="s">
        <v>66</v>
      </c>
      <c r="D65" s="34" t="s">
        <v>51</v>
      </c>
      <c r="E65" s="52">
        <f>IF(J30&lt;=J60,J30,0)</f>
        <v>0</v>
      </c>
      <c r="F65" s="6" t="s">
        <v>8</v>
      </c>
      <c r="G65" s="6"/>
      <c r="H65" s="6"/>
      <c r="I65" s="6"/>
      <c r="J65" s="6"/>
      <c r="K65" s="6"/>
      <c r="L65" s="6"/>
      <c r="M65" s="6"/>
      <c r="N65" s="137"/>
      <c r="O65" s="8"/>
      <c r="P65" s="8"/>
      <c r="Q65" s="8"/>
      <c r="R65" s="8"/>
      <c r="S65" s="8"/>
    </row>
    <row r="66" spans="1:19" ht="20.100000000000001" customHeight="1">
      <c r="A66" s="63"/>
      <c r="B66" s="6" t="s">
        <v>53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37"/>
      <c r="O66" s="8"/>
      <c r="P66" s="8"/>
      <c r="Q66" s="8"/>
      <c r="R66" s="8"/>
      <c r="S66" s="8"/>
    </row>
    <row r="67" spans="1:19" ht="12" customHeight="1" thickBot="1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184"/>
      <c r="O67" s="8"/>
      <c r="P67" s="8"/>
      <c r="Q67" s="8"/>
      <c r="R67" s="8"/>
      <c r="S67" s="8"/>
    </row>
    <row r="68" spans="1:19" ht="12" customHeight="1">
      <c r="A68" s="149" t="s">
        <v>127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8"/>
      <c r="P68" s="8"/>
      <c r="Q68" s="8"/>
      <c r="R68" s="8"/>
      <c r="S68" s="8"/>
    </row>
    <row r="69" spans="1:19" ht="20.100000000000001" customHeight="1">
      <c r="A69" s="343"/>
      <c r="B69" s="344"/>
      <c r="C69" s="344"/>
      <c r="D69" s="344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8"/>
      <c r="Q69" s="8"/>
      <c r="R69" s="8"/>
      <c r="S69" s="8"/>
    </row>
    <row r="70" spans="1:19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8"/>
      <c r="P70" s="8"/>
      <c r="Q70" s="8"/>
      <c r="R70" s="8"/>
      <c r="S70" s="8"/>
    </row>
    <row r="71" spans="1:19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8"/>
      <c r="P71" s="8"/>
      <c r="Q71" s="8"/>
      <c r="R71" s="8"/>
      <c r="S71" s="8"/>
    </row>
    <row r="72" spans="1:19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8"/>
      <c r="P72" s="8"/>
      <c r="Q72" s="8"/>
      <c r="R72" s="8"/>
      <c r="S72" s="8"/>
    </row>
    <row r="73" spans="1:19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Q73" s="8"/>
      <c r="R73" s="8"/>
      <c r="S73" s="8"/>
    </row>
    <row r="74" spans="1:19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Q74" s="8"/>
      <c r="R74" s="8"/>
      <c r="S74" s="8"/>
    </row>
    <row r="75" spans="1:19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Q75" s="8"/>
      <c r="R75" s="8"/>
      <c r="S75" s="8"/>
    </row>
    <row r="76" spans="1:19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Q76" s="8"/>
      <c r="R76" s="8"/>
      <c r="S76" s="8"/>
    </row>
    <row r="77" spans="1:19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</row>
    <row r="78" spans="1:19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</row>
    <row r="79" spans="1:19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</row>
    <row r="80" spans="1:19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</row>
    <row r="81" spans="1:14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</row>
    <row r="82" spans="1:14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</row>
    <row r="84" spans="1:14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</row>
    <row r="85" spans="1:14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</row>
    <row r="86" spans="1:14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</row>
    <row r="87" spans="1:14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</row>
    <row r="88" spans="1:14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</row>
    <row r="89" spans="1:14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</row>
    <row r="90" spans="1:14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</row>
    <row r="91" spans="1:14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</row>
    <row r="92" spans="1:14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</row>
    <row r="93" spans="1:14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</row>
    <row r="94" spans="1:14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</row>
    <row r="95" spans="1:14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</row>
    <row r="96" spans="1:14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4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1:14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4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</row>
    <row r="101" spans="1:14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</row>
    <row r="102" spans="1:14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</row>
    <row r="103" spans="1:14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</row>
    <row r="104" spans="1:14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</row>
    <row r="105" spans="1:14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</row>
    <row r="106" spans="1:14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</row>
    <row r="107" spans="1:14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1:14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1:14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1:14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1:14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1:14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1:14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</row>
    <row r="116" spans="1:14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</row>
    <row r="117" spans="1:14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1:14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1:14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1:14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4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1:14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1:14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1:14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1:14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1:14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1:14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</row>
    <row r="128" spans="1:14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</row>
    <row r="129" spans="1:14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</row>
    <row r="130" spans="1:14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</row>
    <row r="131" spans="1:14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4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</row>
    <row r="133" spans="1:14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</row>
    <row r="134" spans="1:14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</row>
    <row r="135" spans="1:14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</row>
    <row r="136" spans="1:14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  <row r="137" spans="1:14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</row>
    <row r="138" spans="1:14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</row>
    <row r="139" spans="1:14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</row>
    <row r="140" spans="1:14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</row>
    <row r="141" spans="1:14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</row>
    <row r="142" spans="1:14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</row>
    <row r="143" spans="1:14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</row>
    <row r="144" spans="1:14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</row>
    <row r="145" spans="1:14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</row>
    <row r="146" spans="1:14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</row>
    <row r="147" spans="1:14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</row>
    <row r="148" spans="1:14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</row>
    <row r="149" spans="1:14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</row>
    <row r="150" spans="1:14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</row>
    <row r="151" spans="1:14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</row>
    <row r="152" spans="1:14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</row>
    <row r="153" spans="1:14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</row>
    <row r="154" spans="1:14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</row>
    <row r="155" spans="1:14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</row>
    <row r="156" spans="1:14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</row>
    <row r="157" spans="1:14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</row>
    <row r="158" spans="1:14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</row>
    <row r="159" spans="1:14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</row>
    <row r="160" spans="1:14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</row>
  </sheetData>
  <sheetProtection password="8FFE" sheet="1"/>
  <mergeCells count="31">
    <mergeCell ref="L22:M22"/>
    <mergeCell ref="L27:M27"/>
    <mergeCell ref="L23:M23"/>
    <mergeCell ref="L24:M24"/>
    <mergeCell ref="L25:M25"/>
    <mergeCell ref="L17:M17"/>
    <mergeCell ref="L18:M18"/>
    <mergeCell ref="L19:M19"/>
    <mergeCell ref="L20:M20"/>
    <mergeCell ref="L21:M21"/>
    <mergeCell ref="N35:N37"/>
    <mergeCell ref="N39:N43"/>
    <mergeCell ref="M38:M44"/>
    <mergeCell ref="L26:M26"/>
    <mergeCell ref="L33:M33"/>
    <mergeCell ref="M35:M37"/>
    <mergeCell ref="N52:N54"/>
    <mergeCell ref="N47:N49"/>
    <mergeCell ref="M52:M54"/>
    <mergeCell ref="M47:M49"/>
    <mergeCell ref="A69:D69"/>
    <mergeCell ref="A59:F59"/>
    <mergeCell ref="A57:C57"/>
    <mergeCell ref="I23:J23"/>
    <mergeCell ref="A16:F16"/>
    <mergeCell ref="A1:A2"/>
    <mergeCell ref="B1:K1"/>
    <mergeCell ref="B2:K2"/>
    <mergeCell ref="A4:C4"/>
    <mergeCell ref="I15:K15"/>
    <mergeCell ref="I19:J19"/>
  </mergeCells>
  <phoneticPr fontId="0" type="noConversion"/>
  <printOptions horizontalCentered="1" verticalCentered="1"/>
  <pageMargins left="0.59055118110236227" right="0" top="0" bottom="0" header="0" footer="0"/>
  <pageSetup paperSize="9" scale="6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421E-EF33-4F0F-8F5A-AA2DF8C9774E}">
  <dimension ref="A1:T160"/>
  <sheetViews>
    <sheetView showGridLines="0" showZeros="0" zoomScaleNormal="100" workbookViewId="0">
      <selection activeCell="B1" sqref="B1:K1"/>
    </sheetView>
  </sheetViews>
  <sheetFormatPr baseColWidth="10" defaultRowHeight="12.75"/>
  <cols>
    <col min="1" max="1" width="10.7109375" style="2" customWidth="1"/>
    <col min="2" max="11" width="11.7109375" style="2" customWidth="1"/>
    <col min="12" max="12" width="3.7109375" style="2" customWidth="1"/>
    <col min="13" max="13" width="3.85546875" style="2" customWidth="1"/>
    <col min="14" max="14" width="4.7109375" style="2" customWidth="1"/>
    <col min="15" max="22" width="11.28515625" style="2" customWidth="1"/>
    <col min="23" max="16384" width="11.42578125" style="2"/>
  </cols>
  <sheetData>
    <row r="1" spans="1:19" ht="30" customHeight="1">
      <c r="A1" s="305"/>
      <c r="B1" s="307" t="s">
        <v>82</v>
      </c>
      <c r="C1" s="308"/>
      <c r="D1" s="308"/>
      <c r="E1" s="308"/>
      <c r="F1" s="308"/>
      <c r="G1" s="308"/>
      <c r="H1" s="308"/>
      <c r="I1" s="308"/>
      <c r="J1" s="308"/>
      <c r="K1" s="309"/>
      <c r="L1" s="323"/>
      <c r="M1" s="323"/>
      <c r="N1" s="324"/>
      <c r="O1" s="139"/>
      <c r="P1" s="139"/>
      <c r="Q1" s="139"/>
      <c r="R1" s="139"/>
      <c r="S1" s="101"/>
    </row>
    <row r="2" spans="1:19" ht="30" customHeight="1">
      <c r="A2" s="306"/>
      <c r="B2" s="310" t="s">
        <v>119</v>
      </c>
      <c r="C2" s="311"/>
      <c r="D2" s="311"/>
      <c r="E2" s="311"/>
      <c r="F2" s="311"/>
      <c r="G2" s="311"/>
      <c r="H2" s="311"/>
      <c r="I2" s="311"/>
      <c r="J2" s="311"/>
      <c r="K2" s="312"/>
      <c r="L2" s="325"/>
      <c r="M2" s="325"/>
      <c r="N2" s="326"/>
      <c r="O2" s="140"/>
      <c r="P2" s="140"/>
      <c r="Q2" s="140"/>
      <c r="R2" s="140"/>
      <c r="S2" s="101"/>
    </row>
    <row r="3" spans="1:19" ht="15" customHeight="1">
      <c r="A3" s="257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62"/>
      <c r="O3" s="140"/>
      <c r="P3" s="140"/>
      <c r="Q3" s="140"/>
      <c r="R3" s="140"/>
      <c r="S3" s="101"/>
    </row>
    <row r="4" spans="1:19" ht="20.100000000000001" customHeight="1">
      <c r="A4" s="318" t="s">
        <v>59</v>
      </c>
      <c r="B4" s="319"/>
      <c r="C4" s="319"/>
      <c r="D4" s="3"/>
      <c r="E4" s="3"/>
      <c r="F4" s="3"/>
      <c r="G4" s="4"/>
      <c r="H4" s="4"/>
      <c r="I4" s="317"/>
      <c r="J4" s="317"/>
      <c r="K4" s="317"/>
      <c r="L4" s="317"/>
      <c r="M4" s="100"/>
      <c r="N4" s="134"/>
      <c r="O4" s="100"/>
      <c r="P4" s="100"/>
      <c r="Q4" s="100"/>
      <c r="R4" s="3"/>
      <c r="S4" s="8"/>
    </row>
    <row r="5" spans="1:19" ht="20.100000000000001" customHeight="1">
      <c r="A5" s="5" t="s">
        <v>28</v>
      </c>
      <c r="B5" s="148"/>
      <c r="C5" s="6" t="s">
        <v>29</v>
      </c>
      <c r="D5" s="6" t="s">
        <v>67</v>
      </c>
      <c r="E5" s="6"/>
      <c r="F5" s="6"/>
      <c r="G5" s="6"/>
      <c r="H5" s="6"/>
      <c r="I5" s="77"/>
      <c r="J5" s="36"/>
      <c r="K5" s="36"/>
      <c r="L5" s="36"/>
      <c r="M5" s="36"/>
      <c r="N5" s="135"/>
      <c r="O5" s="101"/>
      <c r="P5" s="101"/>
      <c r="Q5" s="101"/>
      <c r="R5" s="8"/>
      <c r="S5" s="8"/>
    </row>
    <row r="6" spans="1:19" ht="20.100000000000001" customHeight="1">
      <c r="A6" s="5" t="s">
        <v>30</v>
      </c>
      <c r="B6" s="1"/>
      <c r="C6" s="10" t="s">
        <v>31</v>
      </c>
      <c r="D6" s="6" t="s">
        <v>43</v>
      </c>
      <c r="E6" s="6"/>
      <c r="F6" s="11"/>
      <c r="G6" s="6"/>
      <c r="H6" s="6"/>
      <c r="I6" s="36"/>
      <c r="J6" s="227"/>
      <c r="K6" s="227"/>
      <c r="L6" s="36"/>
      <c r="M6" s="36"/>
      <c r="N6" s="136"/>
      <c r="O6" s="36"/>
      <c r="P6" s="36"/>
      <c r="Q6" s="36"/>
      <c r="R6" s="8"/>
      <c r="S6" s="8"/>
    </row>
    <row r="7" spans="1:19" ht="20.100000000000001" customHeight="1">
      <c r="A7" s="5" t="s">
        <v>32</v>
      </c>
      <c r="B7" s="1"/>
      <c r="C7" s="6" t="s">
        <v>0</v>
      </c>
      <c r="D7" s="6" t="s">
        <v>44</v>
      </c>
      <c r="E7" s="6"/>
      <c r="F7" s="11"/>
      <c r="G7" s="6"/>
      <c r="H7" s="6"/>
      <c r="I7" s="36"/>
      <c r="J7" s="227"/>
      <c r="K7" s="227"/>
      <c r="L7" s="36"/>
      <c r="M7" s="36"/>
      <c r="N7" s="136"/>
      <c r="O7" s="36"/>
      <c r="P7" s="36"/>
      <c r="Q7" s="36"/>
      <c r="R7" s="8"/>
      <c r="S7" s="8"/>
    </row>
    <row r="8" spans="1:19" ht="20.100000000000001" customHeight="1">
      <c r="A8" s="5" t="s">
        <v>1</v>
      </c>
      <c r="B8" s="6">
        <v>9.81</v>
      </c>
      <c r="C8" s="6" t="s">
        <v>33</v>
      </c>
      <c r="D8" s="6" t="s">
        <v>45</v>
      </c>
      <c r="E8" s="6"/>
      <c r="F8" s="11"/>
      <c r="G8" s="6"/>
      <c r="H8" s="6"/>
      <c r="I8" s="103"/>
      <c r="J8" s="38"/>
      <c r="K8" s="38"/>
      <c r="L8" s="36"/>
      <c r="M8" s="36"/>
      <c r="N8" s="136"/>
      <c r="O8" s="36"/>
      <c r="P8" s="36"/>
      <c r="Q8" s="36"/>
      <c r="R8" s="8"/>
      <c r="S8" s="8"/>
    </row>
    <row r="9" spans="1:19" ht="20.100000000000001" customHeight="1">
      <c r="A9" s="5"/>
      <c r="B9" s="12">
        <v>1.31E-6</v>
      </c>
      <c r="C9" s="13" t="s">
        <v>34</v>
      </c>
      <c r="D9" s="6" t="s">
        <v>46</v>
      </c>
      <c r="E9" s="6"/>
      <c r="F9" s="6"/>
      <c r="G9" s="6"/>
      <c r="H9" s="6"/>
      <c r="I9" s="104"/>
      <c r="J9" s="227"/>
      <c r="K9" s="227"/>
      <c r="L9" s="6"/>
      <c r="M9" s="6"/>
      <c r="N9" s="137"/>
      <c r="O9" s="45"/>
      <c r="P9" s="6"/>
      <c r="Q9" s="6"/>
      <c r="R9" s="8"/>
      <c r="S9" s="8"/>
    </row>
    <row r="10" spans="1:19" ht="15" customHeight="1">
      <c r="A10" s="5"/>
      <c r="B10" s="12"/>
      <c r="C10" s="13"/>
      <c r="D10" s="6"/>
      <c r="E10" s="6"/>
      <c r="F10" s="6"/>
      <c r="G10" s="6"/>
      <c r="H10" s="6"/>
      <c r="I10" s="104"/>
      <c r="J10" s="227"/>
      <c r="K10" s="227"/>
      <c r="L10" s="6"/>
      <c r="M10" s="6"/>
      <c r="N10" s="137"/>
      <c r="O10" s="34"/>
      <c r="P10" s="6"/>
      <c r="Q10" s="6"/>
      <c r="R10" s="8"/>
      <c r="S10" s="8"/>
    </row>
    <row r="11" spans="1:19" ht="20.100000000000001" customHeight="1">
      <c r="A11" s="39" t="s">
        <v>9</v>
      </c>
      <c r="B11" s="12"/>
      <c r="C11" s="13"/>
      <c r="D11" s="6"/>
      <c r="E11" s="6"/>
      <c r="F11" s="6"/>
      <c r="G11" s="6"/>
      <c r="H11" s="6"/>
      <c r="I11" s="104"/>
      <c r="J11" s="227"/>
      <c r="K11" s="227"/>
      <c r="L11" s="6"/>
      <c r="M11" s="6"/>
      <c r="N11" s="137"/>
      <c r="O11" s="34"/>
      <c r="P11" s="6"/>
      <c r="Q11" s="6"/>
      <c r="R11" s="8"/>
      <c r="S11" s="8"/>
    </row>
    <row r="12" spans="1:19" ht="20.100000000000001" customHeight="1">
      <c r="A12" s="39" t="s">
        <v>93</v>
      </c>
      <c r="B12" s="12"/>
      <c r="C12" s="13"/>
      <c r="D12" s="6"/>
      <c r="E12" s="6"/>
      <c r="F12" s="6"/>
      <c r="G12" s="6"/>
      <c r="H12" s="6"/>
      <c r="I12" s="104"/>
      <c r="J12" s="227"/>
      <c r="K12" s="227"/>
      <c r="L12" s="6"/>
      <c r="M12" s="6"/>
      <c r="N12" s="137"/>
      <c r="O12" s="34"/>
      <c r="P12" s="6"/>
      <c r="Q12" s="6"/>
      <c r="R12" s="8"/>
      <c r="S12" s="8"/>
    </row>
    <row r="13" spans="1:19" ht="20.100000000000001" customHeight="1">
      <c r="A13" s="63" t="s">
        <v>95</v>
      </c>
      <c r="B13" s="12"/>
      <c r="C13" s="112" t="s">
        <v>64</v>
      </c>
      <c r="D13" s="199"/>
      <c r="E13" s="6" t="s">
        <v>8</v>
      </c>
      <c r="F13" s="6"/>
      <c r="G13" s="6"/>
      <c r="H13" s="6"/>
      <c r="I13" s="104"/>
      <c r="J13" s="227"/>
      <c r="K13" s="227"/>
      <c r="L13" s="6"/>
      <c r="M13" s="6"/>
      <c r="N13" s="137"/>
      <c r="O13" s="34"/>
      <c r="P13" s="6"/>
      <c r="Q13" s="6"/>
      <c r="R13" s="8"/>
      <c r="S13" s="8"/>
    </row>
    <row r="14" spans="1:19" ht="20.100000000000001" customHeight="1">
      <c r="A14" s="63" t="s">
        <v>115</v>
      </c>
      <c r="B14" s="12"/>
      <c r="C14" s="112" t="s">
        <v>116</v>
      </c>
      <c r="D14" s="199"/>
      <c r="E14" s="6" t="s">
        <v>8</v>
      </c>
      <c r="F14" s="6"/>
      <c r="G14" s="6"/>
      <c r="H14" s="6"/>
      <c r="I14" s="98"/>
      <c r="J14" s="155"/>
      <c r="K14" s="155"/>
      <c r="L14" s="155"/>
      <c r="M14" s="155"/>
      <c r="N14" s="9"/>
      <c r="O14" s="216"/>
      <c r="P14" s="6"/>
      <c r="Q14" s="6"/>
      <c r="R14" s="8"/>
      <c r="S14" s="8"/>
    </row>
    <row r="15" spans="1:19" ht="20.100000000000001" customHeight="1">
      <c r="A15" s="63" t="s">
        <v>117</v>
      </c>
      <c r="B15" s="12"/>
      <c r="C15" s="112" t="s">
        <v>63</v>
      </c>
      <c r="D15" s="199"/>
      <c r="E15" s="6" t="s">
        <v>8</v>
      </c>
      <c r="F15" s="6"/>
      <c r="G15" s="6"/>
      <c r="H15" s="6"/>
      <c r="I15" s="98"/>
      <c r="J15" s="155"/>
      <c r="K15" s="155"/>
      <c r="L15" s="155"/>
      <c r="M15" s="155"/>
      <c r="N15" s="9"/>
      <c r="O15" s="216"/>
      <c r="P15" s="6"/>
      <c r="Q15" s="6"/>
      <c r="R15" s="8"/>
      <c r="S15" s="8"/>
    </row>
    <row r="16" spans="1:19" ht="20.100000000000001" customHeight="1">
      <c r="A16" s="63" t="s">
        <v>97</v>
      </c>
      <c r="B16" s="12"/>
      <c r="C16" s="112" t="s">
        <v>120</v>
      </c>
      <c r="D16" s="199"/>
      <c r="E16" s="6"/>
      <c r="F16" s="6"/>
      <c r="G16" s="6"/>
      <c r="H16" s="6"/>
      <c r="I16" s="346" t="s">
        <v>58</v>
      </c>
      <c r="J16" s="346"/>
      <c r="K16" s="346"/>
      <c r="L16" s="98"/>
      <c r="M16" s="98"/>
      <c r="N16" s="157"/>
      <c r="O16" s="216"/>
      <c r="P16" s="6"/>
      <c r="Q16" s="6"/>
      <c r="R16" s="8"/>
      <c r="S16" s="8"/>
    </row>
    <row r="17" spans="1:19" ht="20.100000000000001" customHeight="1">
      <c r="A17" s="63"/>
      <c r="B17" s="12"/>
      <c r="C17" s="13"/>
      <c r="D17" s="6"/>
      <c r="E17" s="6"/>
      <c r="F17" s="6"/>
      <c r="G17" s="6"/>
      <c r="H17" s="6"/>
      <c r="I17" s="7" t="s">
        <v>11</v>
      </c>
      <c r="J17" s="101"/>
      <c r="K17" s="8"/>
      <c r="L17" s="98"/>
      <c r="M17" s="98"/>
      <c r="N17" s="157"/>
      <c r="O17" s="216"/>
      <c r="P17" s="6"/>
      <c r="Q17" s="6"/>
      <c r="R17" s="8"/>
      <c r="S17" s="8"/>
    </row>
    <row r="18" spans="1:19" ht="20.100000000000001" customHeight="1">
      <c r="A18" s="315" t="s">
        <v>71</v>
      </c>
      <c r="B18" s="316"/>
      <c r="C18" s="316"/>
      <c r="D18" s="316"/>
      <c r="E18" s="316"/>
      <c r="F18" s="316"/>
      <c r="G18" s="6"/>
      <c r="H18" s="6"/>
      <c r="I18" s="14" t="s">
        <v>60</v>
      </c>
      <c r="J18" s="209">
        <f>IF(AND(A23&lt;=0,B28&lt;=0),0,0.2)</f>
        <v>0</v>
      </c>
      <c r="K18" s="156" t="s">
        <v>8</v>
      </c>
      <c r="L18" s="6"/>
      <c r="M18" s="6"/>
      <c r="N18" s="137"/>
      <c r="O18" s="34"/>
      <c r="P18" s="6"/>
      <c r="Q18" s="6"/>
      <c r="R18" s="8"/>
      <c r="S18" s="8"/>
    </row>
    <row r="19" spans="1:19" ht="20.100000000000001" customHeight="1">
      <c r="A19" s="15" t="s">
        <v>41</v>
      </c>
      <c r="B19" s="16"/>
      <c r="C19" s="16"/>
      <c r="D19" s="16"/>
      <c r="E19" s="16"/>
      <c r="F19" s="16"/>
      <c r="G19" s="6"/>
      <c r="H19" s="6"/>
      <c r="I19" s="14" t="s">
        <v>12</v>
      </c>
      <c r="J19" s="209">
        <f>IF(J18&lt;=0,0,0.2)</f>
        <v>0</v>
      </c>
      <c r="K19" s="156" t="s">
        <v>8</v>
      </c>
      <c r="L19" s="6"/>
      <c r="M19" s="6"/>
      <c r="N19" s="198"/>
      <c r="O19" s="34"/>
      <c r="P19" s="8"/>
      <c r="Q19" s="8"/>
      <c r="R19" s="8"/>
      <c r="S19" s="8"/>
    </row>
    <row r="20" spans="1:19" ht="20.100000000000001" customHeight="1">
      <c r="A20" s="15" t="s">
        <v>2</v>
      </c>
      <c r="B20" s="16"/>
      <c r="C20" s="16"/>
      <c r="D20" s="16"/>
      <c r="E20" s="6"/>
      <c r="F20" s="6"/>
      <c r="G20" s="6"/>
      <c r="H20" s="6"/>
      <c r="I20" s="329" t="s">
        <v>56</v>
      </c>
      <c r="J20" s="329"/>
      <c r="K20" s="156"/>
      <c r="L20" s="6"/>
      <c r="M20" s="6"/>
      <c r="N20" s="198"/>
      <c r="O20" s="34"/>
      <c r="P20" s="6"/>
      <c r="Q20" s="8"/>
      <c r="R20" s="8"/>
      <c r="S20" s="8"/>
    </row>
    <row r="21" spans="1:19" ht="20.100000000000001" customHeight="1">
      <c r="A21" s="17" t="s">
        <v>3</v>
      </c>
      <c r="B21" s="18" t="s">
        <v>4</v>
      </c>
      <c r="C21" s="19" t="s">
        <v>5</v>
      </c>
      <c r="D21" s="19" t="s">
        <v>6</v>
      </c>
      <c r="E21" s="19" t="s">
        <v>7</v>
      </c>
      <c r="F21" s="20" t="s">
        <v>35</v>
      </c>
      <c r="G21" s="6"/>
      <c r="H21" s="6"/>
      <c r="I21" s="14" t="s">
        <v>64</v>
      </c>
      <c r="J21" s="52">
        <f>IF(OR(B28&lt;=0,B29&lt;=0),0,D13)</f>
        <v>0</v>
      </c>
      <c r="K21" s="156" t="s">
        <v>8</v>
      </c>
      <c r="L21" s="6"/>
      <c r="M21" s="38"/>
      <c r="N21" s="135"/>
      <c r="O21" s="34"/>
      <c r="P21" s="6"/>
      <c r="Q21" s="8"/>
      <c r="R21" s="8"/>
      <c r="S21" s="8"/>
    </row>
    <row r="22" spans="1:19" ht="20.100000000000001" customHeight="1">
      <c r="A22" s="21" t="s">
        <v>0</v>
      </c>
      <c r="B22" s="22" t="s">
        <v>0</v>
      </c>
      <c r="C22" s="22" t="s">
        <v>36</v>
      </c>
      <c r="D22" s="23" t="s">
        <v>8</v>
      </c>
      <c r="E22" s="23" t="s">
        <v>8</v>
      </c>
      <c r="F22" s="24" t="s">
        <v>36</v>
      </c>
      <c r="G22" s="6"/>
      <c r="H22" s="6"/>
      <c r="I22" s="14" t="s">
        <v>81</v>
      </c>
      <c r="J22" s="52">
        <f>IF(OR(B28&lt;=0,B29&lt;=0),0,D14)</f>
        <v>0</v>
      </c>
      <c r="K22" s="156" t="s">
        <v>8</v>
      </c>
      <c r="L22" s="14"/>
      <c r="M22" s="6"/>
      <c r="N22" s="198"/>
      <c r="O22" s="34"/>
      <c r="P22" s="8"/>
      <c r="Q22" s="8"/>
      <c r="R22" s="8"/>
      <c r="S22" s="8"/>
    </row>
    <row r="23" spans="1:19" ht="20.100000000000001" customHeight="1">
      <c r="A23" s="223"/>
      <c r="B23" s="224"/>
      <c r="C23" s="255">
        <f>IF(OR(B6&lt;=0,A23&lt;=0,B23&lt;=0),0,IF(A23&lt;=0,0,($D$14+$D$15)/2*$D$13+(A23/1000+$D$15)/2*((A23/1000-$D$15)/2/$D$16)+A23/1000*(B23/1000-$J$19-$D$13-(A23/1000-$D$15)/2/$D$16)+(A23/1000-2*$J$18+A23/1000)/2*$J$19))</f>
        <v>0</v>
      </c>
      <c r="D23" s="47">
        <f>IF(A23&lt;=0,0,IF(ISERROR(IF(OR($B$6&lt;=0,A23&lt;=0,B23&lt;=0,D13&lt;=0),0,2*SQRT(POWER($D$13,2)+POWER(($D$15-$D$14)/2,2))+$D$14+2*SQRT(POWER((A23/1000-$D$15)/2,2)+POWER((A23/1000-$D$15)/2/$D$16,2)))+2*(B23/1000-$J$19-$D$13-(A23/1000-$D$15)/2/$D$16)+2*SQRT(POWER($J$18,2)+POWER($J$19,2))+A23/1000-2*$J$18),0,IF(OR($B$6&lt;=0,A23&lt;=0,B23&lt;=0,D13&lt;=0),0,2*SQRT(POWER($D$13,2)+POWER(($D$15-$D$14)/2,2))+$D$14+2*SQRT(POWER((A23/1000-$D$15)/2,2)+POWER((A23/1000-$D$15)/2/$D$16,2)))+2*(B23/1000-$J$19-$D$13-(A23/1000-$D$15)/2/$D$16)+2*SQRT(POWER($J$18,2)+POWER($J$19,2))+A23/1000-2*$J$18))</f>
        <v>0</v>
      </c>
      <c r="E23" s="26">
        <f>IF(ISERROR(C23/D23),0,C23/D23)</f>
        <v>0</v>
      </c>
      <c r="F23" s="221">
        <f>IF(ISERROR($B$5/(-2*LOG(2.51*$B$9/(4*E23*SQRT(8*$B$8*E23*$B$6/1000))+$B$7/(1000*(14.84*E23)))*SQRT(8*$B$8*E23*$B$6/1000))),0,$B$5/(-2*LOG(2.51*$B$9/(4*E23*SQRT(8*$B$8*E23*$B$6/1000))+$B$7/(1000*(14.84*E23)))*SQRT(8*$B$8*E23*$B$6/1000)))</f>
        <v>0</v>
      </c>
      <c r="G23" s="296">
        <f>IF(B23&lt;=0,0,IF(B23/1000&lt;($J$19+$D$13+(A23/1000-D15)/2/D16),"HN erhöhen",0))</f>
        <v>0</v>
      </c>
      <c r="H23" s="6"/>
      <c r="I23" s="14" t="s">
        <v>63</v>
      </c>
      <c r="J23" s="52">
        <f>IF(OR(B28&lt;=0,B29&lt;=0),0,D15)</f>
        <v>0</v>
      </c>
      <c r="K23" s="217" t="s">
        <v>8</v>
      </c>
      <c r="L23" s="14"/>
      <c r="M23" s="6"/>
      <c r="N23" s="198"/>
      <c r="O23" s="6"/>
      <c r="P23" s="6"/>
      <c r="Q23" s="8"/>
      <c r="R23" s="8"/>
      <c r="S23" s="8"/>
    </row>
    <row r="24" spans="1:19" ht="20.100000000000001" customHeight="1">
      <c r="A24" s="225"/>
      <c r="B24" s="226"/>
      <c r="C24" s="260">
        <f>IF(OR(B7&lt;=0,A24&lt;=0,B24&lt;=0),0,IF(A24&lt;=0,0,($D$14+$D$15)/2*$D$13+(A24/1000+$D$15)/2*((A24/1000-$D$15)/2/$D$16)+A24/1000*(B24/1000-$J$19-$D$13-(A24/1000-$D$15)/2/$D$16)+(A24/1000-2*$J$18+A24/1000)/2*$J$19))</f>
        <v>0</v>
      </c>
      <c r="D24" s="28">
        <f>IF(A24&lt;=0,0,IF(ISERROR(IF(OR($B$6&lt;=0,A24&lt;=0,B24&lt;=0),0,2*SQRT(POWER($D$13,2)+POWER(($D$15-$D$14)/2,2))+$D$14+2*SQRT(POWER((A24/1000-$D$15)/2,2)+POWER((A24/1000-$D$15)/2/$D$16,2)))+2*(B24/1000-$J$19-$D$13-(A24/1000-$D$15)/2/$D$16)+2*SQRT(POWER($J$18,2)+POWER($J$19,2))+A24/1000-2*$J$18),0,IF(OR($B$6&lt;=0,A24&lt;=0,B24&lt;=0),0,2*SQRT(POWER($D$13,2)+POWER(($D$15-$D$14)/2,2))+$D$14+2*SQRT(POWER((A24/1000-$D$15)/2,2)+POWER((A24/1000-$D$15)/2/$D$16,2)))+2*(B24/1000-$J$19-$D$13-(A24/1000-$D$15)/2/$D$16)+2*SQRT(POWER($J$18,2)+POWER($J$19,2))+A24/1000-2*$J$18))</f>
        <v>0</v>
      </c>
      <c r="E24" s="28">
        <f>IF(ISERROR(C24/D24),0,C24/D24)</f>
        <v>0</v>
      </c>
      <c r="F24" s="261">
        <f>IF(ISERROR($B$5/(-2*LOG(2.51*$B$9/(4*E24*SQRT(8*$B$8*E24*$B$6/1000))+$B$7/(1000*(14.84*E24)))*SQRT(8*$B$8*E24*$B$6/1000))),0,$B$5/(-2*LOG(2.51*$B$9/(4*E24*SQRT(8*$B$8*E24*$B$6/1000))+$B$7/(1000*(14.84*E24)))*SQRT(8*$B$8*E24*$B$6/1000)))</f>
        <v>0</v>
      </c>
      <c r="G24" s="297">
        <f>IF(B24&lt;=0,0,IF(B24/1000&lt;($J$19+$D$13+(A24/1000-D15)/2/D16),"HN erhöhen",0))</f>
        <v>0</v>
      </c>
      <c r="H24" s="6"/>
      <c r="I24" s="329" t="s">
        <v>97</v>
      </c>
      <c r="J24" s="329"/>
      <c r="K24" s="8"/>
      <c r="L24" s="14"/>
      <c r="M24" s="14"/>
      <c r="N24" s="162"/>
      <c r="O24" s="6"/>
      <c r="P24" s="6"/>
      <c r="Q24" s="8"/>
      <c r="R24" s="8"/>
      <c r="S24" s="8"/>
    </row>
    <row r="25" spans="1:19" ht="20.100000000000001" customHeight="1">
      <c r="A25" s="29"/>
      <c r="B25" s="30"/>
      <c r="C25" s="31"/>
      <c r="D25" s="31"/>
      <c r="E25" s="31"/>
      <c r="F25" s="31"/>
      <c r="G25" s="6"/>
      <c r="H25" s="6"/>
      <c r="I25" s="70" t="s">
        <v>80</v>
      </c>
      <c r="J25" s="52">
        <f>IF(OR(B28&lt;=0,B29&lt;=0),0,D16)</f>
        <v>0</v>
      </c>
      <c r="K25" s="8"/>
      <c r="L25" s="14"/>
      <c r="M25" s="14"/>
      <c r="N25" s="137"/>
      <c r="Q25" s="8"/>
      <c r="R25" s="8"/>
      <c r="S25" s="8"/>
    </row>
    <row r="26" spans="1:19" ht="20.100000000000001" customHeight="1">
      <c r="A26" s="32" t="s">
        <v>9</v>
      </c>
      <c r="B26" s="16"/>
      <c r="C26" s="16"/>
      <c r="D26" s="16"/>
      <c r="E26" s="6"/>
      <c r="F26" s="6"/>
      <c r="G26" s="6"/>
      <c r="H26" s="6"/>
      <c r="I26" s="256" t="s">
        <v>118</v>
      </c>
      <c r="J26" s="8"/>
      <c r="K26" s="8"/>
      <c r="L26" s="6"/>
      <c r="M26" s="4"/>
      <c r="N26" s="163"/>
      <c r="Q26" s="8"/>
      <c r="R26" s="8"/>
      <c r="S26" s="8"/>
    </row>
    <row r="27" spans="1:19" ht="20.100000000000001" customHeight="1">
      <c r="A27" s="328" t="s">
        <v>10</v>
      </c>
      <c r="B27" s="329"/>
      <c r="C27" s="16"/>
      <c r="D27" s="16"/>
      <c r="E27" s="329" t="s">
        <v>106</v>
      </c>
      <c r="F27" s="329"/>
      <c r="G27" s="6"/>
      <c r="H27" s="58"/>
      <c r="I27" s="6" t="s">
        <v>70</v>
      </c>
      <c r="J27" s="52">
        <f>IF(OR(B28&lt;=0,B29&lt;=0,J25&lt;=0),0,(B28/1000-J23)/2)</f>
        <v>0</v>
      </c>
      <c r="K27" s="8" t="s">
        <v>8</v>
      </c>
      <c r="L27" s="347"/>
      <c r="M27" s="347"/>
      <c r="N27" s="9"/>
      <c r="O27" s="8"/>
      <c r="P27" s="8"/>
      <c r="Q27" s="8"/>
      <c r="R27" s="8"/>
      <c r="S27" s="8"/>
    </row>
    <row r="28" spans="1:19" ht="20.100000000000001" customHeight="1">
      <c r="A28" s="5" t="s">
        <v>3</v>
      </c>
      <c r="B28" s="236">
        <f>A24</f>
        <v>0</v>
      </c>
      <c r="C28" s="6" t="s">
        <v>0</v>
      </c>
      <c r="D28" s="33"/>
      <c r="E28" s="34" t="s">
        <v>54</v>
      </c>
      <c r="F28" s="52">
        <f>IF(OR(B6&lt;=0,B28&lt;=0,B29&lt;=0),0,(J22+J23)/2*J21+(J23+B28/1000)/2*J28+(B29/1000-J19-J21-J28)*B28/1000+(B28/1000+B28/1000-2*J18)/2*J19)</f>
        <v>0</v>
      </c>
      <c r="G28" s="6" t="s">
        <v>36</v>
      </c>
      <c r="H28" s="58"/>
      <c r="I28" s="8" t="s">
        <v>112</v>
      </c>
      <c r="J28" s="52">
        <f>IF(OR(B28&lt;=0,B29&lt;=0,J25&lt;=0),0,J27/J25)</f>
        <v>0</v>
      </c>
      <c r="K28" s="14" t="s">
        <v>8</v>
      </c>
      <c r="L28" s="347"/>
      <c r="M28" s="347"/>
      <c r="N28" s="164"/>
      <c r="O28" s="78"/>
      <c r="P28" s="78"/>
      <c r="Q28" s="8"/>
      <c r="R28" s="8"/>
      <c r="S28" s="8"/>
    </row>
    <row r="29" spans="1:19" ht="20.100000000000001" customHeight="1">
      <c r="A29" s="5" t="s">
        <v>4</v>
      </c>
      <c r="B29" s="236">
        <f>B24</f>
        <v>0</v>
      </c>
      <c r="C29" s="6" t="s">
        <v>0</v>
      </c>
      <c r="D29" s="6"/>
      <c r="E29" s="35" t="s">
        <v>62</v>
      </c>
      <c r="F29" s="237">
        <f>IF(OR(B6&lt;=0,B28&lt;=0,B29&lt;=0),0,2*SQRT(POWER($J$21,2)+POWER((J23-J22)/2,2))+$J$22+2*SQRT(POWER(J27,2)+POWER(J28,2))+2*(B29/1000-$J$19-$J$21-J28)+2*SQRT(POWER($J$18,2)+POWER($J$19,2))+B28/1000-2*$J$18)</f>
        <v>0</v>
      </c>
      <c r="G29" s="36" t="s">
        <v>8</v>
      </c>
      <c r="H29" s="36"/>
      <c r="I29" s="34"/>
      <c r="J29" s="8"/>
      <c r="K29" s="161"/>
      <c r="L29" s="6"/>
      <c r="M29" s="6"/>
      <c r="N29" s="165"/>
      <c r="O29" s="6"/>
      <c r="P29" s="6"/>
      <c r="Q29" s="8"/>
      <c r="R29" s="8"/>
      <c r="S29" s="8"/>
    </row>
    <row r="30" spans="1:19" ht="20.100000000000001" customHeight="1">
      <c r="A30" s="5"/>
      <c r="B30" s="37"/>
      <c r="C30" s="6"/>
      <c r="D30" s="6"/>
      <c r="E30" s="200" t="s">
        <v>109</v>
      </c>
      <c r="F30" s="289">
        <f>IF(OR(B6&lt;=0,B28&lt;=0,B29&lt;=0),0,-2*LOG(2.51*$B$9/(4*F28/F29*SQRT(8*$B$8*F28/F29*$B$6/1000))+$B$7/(1000*(14.84*F28/F29)))*SQRT(8*$B$8*F28/F29*$B$6/1000))</f>
        <v>0</v>
      </c>
      <c r="G30" s="78" t="s">
        <v>15</v>
      </c>
      <c r="H30" s="78"/>
      <c r="I30" s="14" t="s">
        <v>84</v>
      </c>
      <c r="J30" s="8"/>
      <c r="K30" s="8"/>
      <c r="L30" s="154"/>
      <c r="M30" s="6"/>
      <c r="N30" s="9"/>
      <c r="O30" s="8"/>
      <c r="P30" s="8"/>
      <c r="Q30" s="8"/>
      <c r="R30" s="8"/>
      <c r="S30" s="8"/>
    </row>
    <row r="31" spans="1:19" ht="20.100000000000001" customHeight="1">
      <c r="A31" s="5"/>
      <c r="B31" s="37"/>
      <c r="C31" s="6"/>
      <c r="D31" s="6"/>
      <c r="E31" s="200" t="s">
        <v>107</v>
      </c>
      <c r="F31" s="290">
        <f>F30*F28</f>
        <v>0</v>
      </c>
      <c r="G31" s="6" t="s">
        <v>29</v>
      </c>
      <c r="H31" s="8"/>
      <c r="I31" s="14" t="s">
        <v>85</v>
      </c>
      <c r="J31" s="52">
        <f>IF(F30&lt;=0,0,B29/1000+POWER(F30,2)/2/B8)</f>
        <v>0</v>
      </c>
      <c r="K31" s="16" t="s">
        <v>8</v>
      </c>
      <c r="L31" s="337"/>
      <c r="M31" s="337"/>
      <c r="N31" s="165"/>
      <c r="O31" s="16"/>
      <c r="P31" s="8"/>
      <c r="Q31" s="8"/>
      <c r="R31" s="8"/>
      <c r="S31" s="8"/>
    </row>
    <row r="32" spans="1:19" ht="20.100000000000001" customHeight="1">
      <c r="A32" s="39" t="s">
        <v>49</v>
      </c>
      <c r="B32" s="6"/>
      <c r="C32" s="6"/>
      <c r="D32" s="6"/>
      <c r="E32" s="6"/>
      <c r="F32" s="6"/>
      <c r="G32" s="6"/>
      <c r="H32" s="8"/>
      <c r="I32" s="6"/>
      <c r="J32" s="6"/>
      <c r="K32" s="6"/>
      <c r="L32" s="6"/>
      <c r="M32" s="6"/>
      <c r="N32" s="9"/>
      <c r="O32" s="8"/>
      <c r="P32" s="8"/>
      <c r="Q32" s="8"/>
      <c r="R32" s="8"/>
      <c r="S32" s="8"/>
    </row>
    <row r="33" spans="1:19" ht="45" customHeight="1">
      <c r="A33" s="40" t="s">
        <v>16</v>
      </c>
      <c r="B33" s="19" t="s">
        <v>17</v>
      </c>
      <c r="C33" s="19" t="s">
        <v>18</v>
      </c>
      <c r="D33" s="19" t="s">
        <v>19</v>
      </c>
      <c r="E33" s="19" t="s">
        <v>20</v>
      </c>
      <c r="F33" s="18" t="s">
        <v>21</v>
      </c>
      <c r="G33" s="19" t="s">
        <v>22</v>
      </c>
      <c r="H33" s="19" t="s">
        <v>90</v>
      </c>
      <c r="I33" s="18" t="s">
        <v>23</v>
      </c>
      <c r="J33" s="19" t="s">
        <v>24</v>
      </c>
      <c r="K33" s="20" t="s">
        <v>83</v>
      </c>
      <c r="L33" s="6"/>
      <c r="M33" s="6"/>
      <c r="N33" s="9"/>
      <c r="O33" s="8"/>
      <c r="P33" s="8"/>
      <c r="Q33" s="8"/>
      <c r="R33" s="8"/>
      <c r="S33" s="8"/>
    </row>
    <row r="34" spans="1:19" ht="20.100000000000001" customHeight="1">
      <c r="A34" s="41" t="s">
        <v>61</v>
      </c>
      <c r="B34" s="42" t="s">
        <v>5</v>
      </c>
      <c r="C34" s="42" t="s">
        <v>37</v>
      </c>
      <c r="D34" s="42" t="s">
        <v>38</v>
      </c>
      <c r="E34" s="42" t="s">
        <v>25</v>
      </c>
      <c r="F34" s="43" t="s">
        <v>72</v>
      </c>
      <c r="G34" s="42" t="s">
        <v>39</v>
      </c>
      <c r="H34" s="42" t="s">
        <v>91</v>
      </c>
      <c r="I34" s="43" t="s">
        <v>26</v>
      </c>
      <c r="J34" s="43" t="s">
        <v>40</v>
      </c>
      <c r="K34" s="108" t="s">
        <v>87</v>
      </c>
      <c r="L34" s="321" t="s">
        <v>76</v>
      </c>
      <c r="M34" s="322"/>
      <c r="N34" s="9"/>
      <c r="O34" s="8"/>
      <c r="P34" s="8"/>
      <c r="Q34" s="8"/>
      <c r="R34" s="8"/>
      <c r="S34" s="8"/>
    </row>
    <row r="35" spans="1:19" ht="20.100000000000001" customHeight="1">
      <c r="A35" s="21" t="s">
        <v>8</v>
      </c>
      <c r="B35" s="22" t="s">
        <v>36</v>
      </c>
      <c r="C35" s="22" t="s">
        <v>8</v>
      </c>
      <c r="D35" s="22" t="s">
        <v>8</v>
      </c>
      <c r="E35" s="22" t="s">
        <v>15</v>
      </c>
      <c r="F35" s="22" t="s">
        <v>29</v>
      </c>
      <c r="G35" s="22" t="s">
        <v>27</v>
      </c>
      <c r="H35" s="22" t="s">
        <v>8</v>
      </c>
      <c r="I35" s="22" t="s">
        <v>27</v>
      </c>
      <c r="J35" s="22" t="s">
        <v>8</v>
      </c>
      <c r="K35" s="107" t="s">
        <v>86</v>
      </c>
      <c r="L35" s="46"/>
      <c r="M35" s="6"/>
      <c r="N35" s="9"/>
      <c r="O35" s="8"/>
      <c r="P35" s="8"/>
      <c r="Q35" s="8"/>
      <c r="R35" s="8"/>
      <c r="S35" s="8"/>
    </row>
    <row r="36" spans="1:19" ht="20.100000000000001" customHeight="1">
      <c r="A36" s="274">
        <f>IF($B$29&lt;=0,0,A37+$J$19/3)</f>
        <v>0</v>
      </c>
      <c r="B36" s="247">
        <f>IF(A36&lt;=0,0,$B$39+($B$28/1000+$B$28/1000-2*(A36-$A$39)*$J$19/$J$18)/2*(A36-$A$39))</f>
        <v>0</v>
      </c>
      <c r="C36" s="247">
        <f>IF(A36&lt;=0,0,B28/1000-2*J18+$C$39+2*SQRT(POWER($J$19/$J$18*(A36-$A$39),2)+POWER((A36-$A$39),2)))</f>
        <v>0</v>
      </c>
      <c r="D36" s="71">
        <f t="shared" ref="D36:D54" si="0">IF(ISERROR(B36/C36),0,B36/C36)</f>
        <v>0</v>
      </c>
      <c r="E36" s="71">
        <f t="shared" ref="E36:E54" si="1">IF(ISERROR(IF(A36&lt;=0,0,-2*LOG(2.51*$B$9/(4*D36*SQRT(8*$B$8*D36*$B$6/1000))+$B$7/(1000*(14.84*D36)))*SQRT(8*$B$8*D36*$B$6/1000))),0,IF(A36&lt;=0,0,-2*LOG(2.51*$B$9/(4*D36*SQRT(8*$B$8*D36*$B$6/1000))+$B$7/(1000*(14.84*D36)))*SQRT(8*$B$8*D36*$B$6/1000)))</f>
        <v>0</v>
      </c>
      <c r="F36" s="72">
        <f t="shared" ref="F36:F54" si="2">E36*B36</f>
        <v>0</v>
      </c>
      <c r="G36" s="214">
        <f t="shared" ref="G36:G54" si="3">IF(ISERROR(F36/$F$31),0,F36/$F$31)</f>
        <v>0</v>
      </c>
      <c r="H36" s="214">
        <f>IF(A36&lt;=0,0,$B$28/1000-2*(A36-$A$39)*$J$19/$J$18)</f>
        <v>0</v>
      </c>
      <c r="I36" s="214">
        <f t="shared" ref="I36:I54" si="4">IF(A36&lt;=0,0,E36/SQRT($B$8*B36/H36))</f>
        <v>0</v>
      </c>
      <c r="J36" s="254">
        <f t="shared" ref="J36:J54" si="5">A36+POWER(E36,2)/(2*$B$8)</f>
        <v>0</v>
      </c>
      <c r="K36" s="240">
        <f t="shared" ref="K36:K56" si="6">9.81*$B$6*D36</f>
        <v>0</v>
      </c>
      <c r="L36" s="6"/>
      <c r="M36" s="333">
        <f>IF(AND(J18&lt;=0,J19&lt;=0),0,"Voute")</f>
        <v>0</v>
      </c>
      <c r="N36" s="302">
        <f>IF(AND(J18&lt;=0,J19&lt;=0),0,J19)</f>
        <v>0</v>
      </c>
      <c r="O36" s="8"/>
      <c r="P36" s="8"/>
      <c r="Q36" s="8"/>
      <c r="R36" s="8"/>
      <c r="S36" s="8"/>
    </row>
    <row r="37" spans="1:19" ht="20.100000000000001" customHeight="1">
      <c r="A37" s="275">
        <f>IF($B$29&lt;=0,0,A38+$J$19/3)</f>
        <v>0</v>
      </c>
      <c r="B37" s="247">
        <f>IF(A37&lt;=0,0,$B$39+($B$28/1000+$B$28/1000-2*(A37-$A$39)*$J$19/$J$18)/2*(A37-$A$39))</f>
        <v>0</v>
      </c>
      <c r="C37" s="247">
        <f>IF(A37&lt;=0,0,$C$39+2*SQRT(POWER($J$19/$J$18*(A37-$A$39),2)+POWER((A37-$A$39),2)))</f>
        <v>0</v>
      </c>
      <c r="D37" s="247">
        <f t="shared" si="0"/>
        <v>0</v>
      </c>
      <c r="E37" s="247">
        <f t="shared" si="1"/>
        <v>0</v>
      </c>
      <c r="F37" s="86">
        <f t="shared" si="2"/>
        <v>0</v>
      </c>
      <c r="G37" s="204">
        <f t="shared" si="3"/>
        <v>0</v>
      </c>
      <c r="H37" s="204">
        <f>IF(A37&lt;=0,0,$B$28/1000-2*(A37-$A$39)*$J$19/$J$18)</f>
        <v>0</v>
      </c>
      <c r="I37" s="204">
        <f t="shared" si="4"/>
        <v>0</v>
      </c>
      <c r="J37" s="247">
        <f t="shared" si="5"/>
        <v>0</v>
      </c>
      <c r="K37" s="239">
        <f t="shared" si="6"/>
        <v>0</v>
      </c>
      <c r="L37" s="6"/>
      <c r="M37" s="333"/>
      <c r="N37" s="302"/>
      <c r="O37" s="8"/>
      <c r="P37" s="8"/>
      <c r="Q37" s="8"/>
      <c r="R37" s="8"/>
      <c r="S37" s="8"/>
    </row>
    <row r="38" spans="1:19" ht="20.100000000000001" customHeight="1">
      <c r="A38" s="276">
        <f>IF($B$29&lt;=0,0,IF(AND(J18&lt;=0,J19&lt;=0),0,A39+$J$19/3))</f>
        <v>0</v>
      </c>
      <c r="B38" s="73">
        <f>IF(A38&lt;=0,0,$B$39+($B$28/1000+$B$28/1000-2*(A38-$A$39)*$J$19/$J$18)/2*(A38-$A$39))</f>
        <v>0</v>
      </c>
      <c r="C38" s="73">
        <f>IF(A38&lt;=0,0,$C$39+2*SQRT(POWER($J$19/$J$18*(A38-$A$39),2)+POWER((A38-$A$39),2)))</f>
        <v>0</v>
      </c>
      <c r="D38" s="73">
        <f t="shared" si="0"/>
        <v>0</v>
      </c>
      <c r="E38" s="73">
        <f t="shared" si="1"/>
        <v>0</v>
      </c>
      <c r="F38" s="74">
        <f t="shared" si="2"/>
        <v>0</v>
      </c>
      <c r="G38" s="206">
        <f t="shared" si="3"/>
        <v>0</v>
      </c>
      <c r="H38" s="206">
        <f>IF(A38&lt;=0,0,$B$28/1000-2*(A38-$A$39)*$J$19/$J$18)</f>
        <v>0</v>
      </c>
      <c r="I38" s="206">
        <f t="shared" si="4"/>
        <v>0</v>
      </c>
      <c r="J38" s="73">
        <f t="shared" si="5"/>
        <v>0</v>
      </c>
      <c r="K38" s="241">
        <f t="shared" si="6"/>
        <v>0</v>
      </c>
      <c r="L38" s="53"/>
      <c r="M38" s="333"/>
      <c r="N38" s="302"/>
      <c r="O38" s="8"/>
      <c r="P38" s="8"/>
      <c r="Q38" s="8"/>
      <c r="R38" s="8"/>
      <c r="S38" s="8"/>
    </row>
    <row r="39" spans="1:19" ht="20.100000000000001" customHeight="1">
      <c r="A39" s="203">
        <f t="shared" ref="A39:A44" si="7">IF($B$29&lt;=0,0,($B$29/1000-$J$19-$J$21-$J$28)/6+A40)</f>
        <v>0</v>
      </c>
      <c r="B39" s="120">
        <f t="shared" ref="B39:B44" si="8">IF(A39&lt;=0,0,$B$45+(A39-$A$45)*$B$28/1000)</f>
        <v>0</v>
      </c>
      <c r="C39" s="120">
        <f>IF(A39&lt;=0,0,(A39-$A$45)*2+$C$45+IF(A39=B29/1000,B28/1000,0))</f>
        <v>0</v>
      </c>
      <c r="D39" s="119">
        <f t="shared" si="0"/>
        <v>0</v>
      </c>
      <c r="E39" s="119">
        <f t="shared" si="1"/>
        <v>0</v>
      </c>
      <c r="F39" s="121">
        <f t="shared" si="2"/>
        <v>0</v>
      </c>
      <c r="G39" s="122">
        <f t="shared" si="3"/>
        <v>0</v>
      </c>
      <c r="H39" s="122">
        <f t="shared" ref="H39:H44" si="9">IF(A39&lt;=0,0,$B$28/1000)</f>
        <v>0</v>
      </c>
      <c r="I39" s="122">
        <f t="shared" si="4"/>
        <v>0</v>
      </c>
      <c r="J39" s="119">
        <f t="shared" si="5"/>
        <v>0</v>
      </c>
      <c r="K39" s="124">
        <f t="shared" si="6"/>
        <v>0</v>
      </c>
      <c r="L39" s="6"/>
      <c r="M39" s="334" t="s">
        <v>124</v>
      </c>
      <c r="N39" s="9"/>
      <c r="O39" s="142"/>
      <c r="P39" s="142"/>
      <c r="Q39" s="142"/>
      <c r="R39" s="8"/>
      <c r="S39" s="8"/>
    </row>
    <row r="40" spans="1:19" ht="20.100000000000001" customHeight="1">
      <c r="A40" s="202">
        <f t="shared" si="7"/>
        <v>0</v>
      </c>
      <c r="B40" s="118">
        <f t="shared" si="8"/>
        <v>0</v>
      </c>
      <c r="C40" s="118">
        <f>IF(A40&lt;=0,0,(A40-$A$45)*2+$C$45)</f>
        <v>0</v>
      </c>
      <c r="D40" s="119">
        <f t="shared" si="0"/>
        <v>0</v>
      </c>
      <c r="E40" s="118">
        <f t="shared" si="1"/>
        <v>0</v>
      </c>
      <c r="F40" s="121">
        <f t="shared" si="2"/>
        <v>0</v>
      </c>
      <c r="G40" s="123">
        <f t="shared" si="3"/>
        <v>0</v>
      </c>
      <c r="H40" s="122">
        <f t="shared" si="9"/>
        <v>0</v>
      </c>
      <c r="I40" s="122">
        <f t="shared" si="4"/>
        <v>0</v>
      </c>
      <c r="J40" s="118">
        <f t="shared" si="5"/>
        <v>0</v>
      </c>
      <c r="K40" s="141">
        <f t="shared" si="6"/>
        <v>0</v>
      </c>
      <c r="L40" s="6"/>
      <c r="M40" s="334"/>
      <c r="N40" s="9"/>
      <c r="O40" s="8"/>
      <c r="P40" s="8"/>
      <c r="Q40" s="8"/>
      <c r="R40" s="8"/>
      <c r="S40" s="8"/>
    </row>
    <row r="41" spans="1:19" ht="20.100000000000001" customHeight="1">
      <c r="A41" s="202">
        <f t="shared" si="7"/>
        <v>0</v>
      </c>
      <c r="B41" s="118">
        <f t="shared" si="8"/>
        <v>0</v>
      </c>
      <c r="C41" s="118">
        <f>IF(A41&lt;=0,0,(A41-$A$45)*2+$C$45)</f>
        <v>0</v>
      </c>
      <c r="D41" s="119">
        <f t="shared" si="0"/>
        <v>0</v>
      </c>
      <c r="E41" s="118">
        <f t="shared" si="1"/>
        <v>0</v>
      </c>
      <c r="F41" s="121">
        <f t="shared" si="2"/>
        <v>0</v>
      </c>
      <c r="G41" s="123">
        <f t="shared" si="3"/>
        <v>0</v>
      </c>
      <c r="H41" s="122">
        <f t="shared" si="9"/>
        <v>0</v>
      </c>
      <c r="I41" s="122">
        <f t="shared" si="4"/>
        <v>0</v>
      </c>
      <c r="J41" s="118">
        <f t="shared" si="5"/>
        <v>0</v>
      </c>
      <c r="K41" s="141">
        <f t="shared" si="6"/>
        <v>0</v>
      </c>
      <c r="L41" s="6"/>
      <c r="M41" s="334"/>
      <c r="N41" s="345">
        <f>IF(B28&lt;=0,0,B29/1000-J21-J19-J28)</f>
        <v>0</v>
      </c>
      <c r="O41" s="210"/>
      <c r="P41" s="154"/>
      <c r="Q41" s="154"/>
      <c r="R41" s="8"/>
      <c r="S41" s="8"/>
    </row>
    <row r="42" spans="1:19" ht="20.100000000000001" customHeight="1">
      <c r="A42" s="202">
        <f t="shared" si="7"/>
        <v>0</v>
      </c>
      <c r="B42" s="118">
        <f t="shared" si="8"/>
        <v>0</v>
      </c>
      <c r="C42" s="118">
        <f>IF(A42&lt;=0,0,(A42-$A$45)*2+$C$45)</f>
        <v>0</v>
      </c>
      <c r="D42" s="119">
        <f t="shared" si="0"/>
        <v>0</v>
      </c>
      <c r="E42" s="118">
        <f t="shared" si="1"/>
        <v>0</v>
      </c>
      <c r="F42" s="121">
        <f t="shared" si="2"/>
        <v>0</v>
      </c>
      <c r="G42" s="123">
        <f t="shared" si="3"/>
        <v>0</v>
      </c>
      <c r="H42" s="122">
        <f t="shared" si="9"/>
        <v>0</v>
      </c>
      <c r="I42" s="122">
        <f t="shared" si="4"/>
        <v>0</v>
      </c>
      <c r="J42" s="118">
        <f t="shared" si="5"/>
        <v>0</v>
      </c>
      <c r="K42" s="141">
        <f t="shared" si="6"/>
        <v>0</v>
      </c>
      <c r="L42" s="6"/>
      <c r="M42" s="334"/>
      <c r="N42" s="345"/>
      <c r="O42" s="210"/>
      <c r="P42" s="154"/>
      <c r="Q42" s="154"/>
      <c r="R42" s="8"/>
      <c r="S42" s="8"/>
    </row>
    <row r="43" spans="1:19" ht="20.100000000000001" customHeight="1">
      <c r="A43" s="202">
        <f t="shared" si="7"/>
        <v>0</v>
      </c>
      <c r="B43" s="118">
        <f t="shared" si="8"/>
        <v>0</v>
      </c>
      <c r="C43" s="118">
        <f>IF(A43&lt;=0,0,(A43-$A$45)*2+$C$45)</f>
        <v>0</v>
      </c>
      <c r="D43" s="119">
        <f t="shared" si="0"/>
        <v>0</v>
      </c>
      <c r="E43" s="118">
        <f t="shared" si="1"/>
        <v>0</v>
      </c>
      <c r="F43" s="121">
        <f t="shared" si="2"/>
        <v>0</v>
      </c>
      <c r="G43" s="123">
        <f t="shared" si="3"/>
        <v>0</v>
      </c>
      <c r="H43" s="122">
        <f t="shared" si="9"/>
        <v>0</v>
      </c>
      <c r="I43" s="122">
        <f t="shared" si="4"/>
        <v>0</v>
      </c>
      <c r="J43" s="118">
        <f t="shared" si="5"/>
        <v>0</v>
      </c>
      <c r="K43" s="141">
        <f t="shared" si="6"/>
        <v>0</v>
      </c>
      <c r="L43" s="6"/>
      <c r="M43" s="334"/>
      <c r="N43" s="246"/>
      <c r="O43" s="210"/>
      <c r="P43" s="154"/>
      <c r="Q43" s="154"/>
      <c r="R43" s="8"/>
      <c r="S43" s="8"/>
    </row>
    <row r="44" spans="1:19" ht="20.100000000000001" customHeight="1">
      <c r="A44" s="266">
        <f t="shared" si="7"/>
        <v>0</v>
      </c>
      <c r="B44" s="126">
        <f t="shared" si="8"/>
        <v>0</v>
      </c>
      <c r="C44" s="126">
        <f>IF(A44&lt;=0,0,(A44-$A$45)*2+$C$45)</f>
        <v>0</v>
      </c>
      <c r="D44" s="126">
        <f t="shared" si="0"/>
        <v>0</v>
      </c>
      <c r="E44" s="126">
        <f t="shared" si="1"/>
        <v>0</v>
      </c>
      <c r="F44" s="127">
        <f t="shared" si="2"/>
        <v>0</v>
      </c>
      <c r="G44" s="128">
        <f t="shared" si="3"/>
        <v>0</v>
      </c>
      <c r="H44" s="122">
        <f t="shared" si="9"/>
        <v>0</v>
      </c>
      <c r="I44" s="128">
        <f t="shared" si="4"/>
        <v>0</v>
      </c>
      <c r="J44" s="126">
        <f t="shared" si="5"/>
        <v>0</v>
      </c>
      <c r="K44" s="131">
        <f t="shared" si="6"/>
        <v>0</v>
      </c>
      <c r="L44" s="6"/>
      <c r="M44" s="334"/>
      <c r="N44" s="246"/>
      <c r="O44" s="210"/>
      <c r="P44" s="154"/>
      <c r="Q44" s="154"/>
      <c r="R44" s="8"/>
      <c r="S44" s="8"/>
    </row>
    <row r="45" spans="1:19" ht="20.100000000000001" customHeight="1">
      <c r="A45" s="201">
        <f>IF($B$29&lt;=0,0,($J$28/4+A46))</f>
        <v>0</v>
      </c>
      <c r="B45" s="47">
        <f>IF(A45&lt;=0,0,$B$49+(2*$J$23+2*(A45-$A$49)*$J$25)/2*(A45-$A$49))</f>
        <v>0</v>
      </c>
      <c r="C45" s="47">
        <f>IF(A45&lt;=0,0,2*SQRT(POWER((A45-$A$49),2)+POWER(((A45-$A$49)*$J$25),2))+$C$49)</f>
        <v>0</v>
      </c>
      <c r="D45" s="26">
        <f t="shared" si="0"/>
        <v>0</v>
      </c>
      <c r="E45" s="26">
        <f t="shared" si="1"/>
        <v>0</v>
      </c>
      <c r="F45" s="25">
        <f t="shared" si="2"/>
        <v>0</v>
      </c>
      <c r="G45" s="56">
        <f t="shared" si="3"/>
        <v>0</v>
      </c>
      <c r="H45" s="49">
        <f>IF(A45&lt;=0,0,2*(A45-$A$49)*$J$25+$J$23)</f>
        <v>0</v>
      </c>
      <c r="I45" s="56">
        <f t="shared" si="4"/>
        <v>0</v>
      </c>
      <c r="J45" s="26">
        <f t="shared" si="5"/>
        <v>0</v>
      </c>
      <c r="K45" s="109">
        <f t="shared" si="6"/>
        <v>0</v>
      </c>
      <c r="L45" s="6"/>
      <c r="M45" s="6"/>
      <c r="N45" s="302">
        <f>IF(B28&lt;=0,0,J28)</f>
        <v>0</v>
      </c>
      <c r="O45" s="210"/>
      <c r="P45" s="154"/>
      <c r="Q45" s="154"/>
      <c r="R45" s="8"/>
      <c r="S45" s="8"/>
    </row>
    <row r="46" spans="1:19" ht="20.100000000000001" customHeight="1">
      <c r="A46" s="268">
        <f>IF($B$29&lt;=0,0,($J$28/4+A47))</f>
        <v>0</v>
      </c>
      <c r="B46" s="51">
        <f>IF(A46&lt;=0,0,$B$49+(2*$J$23+2*(A46-$A$49)*$J$25)/2*(A46-$A$49))</f>
        <v>0</v>
      </c>
      <c r="C46" s="51">
        <f>IF(A46&lt;=0,0,2*SQRT(POWER((A46-$A$49),2)+POWER(((A46-$A$49)*$J$25),2))+$C$49)</f>
        <v>0</v>
      </c>
      <c r="D46" s="26">
        <f t="shared" si="0"/>
        <v>0</v>
      </c>
      <c r="E46" s="51">
        <f t="shared" si="1"/>
        <v>0</v>
      </c>
      <c r="F46" s="25">
        <f t="shared" si="2"/>
        <v>0</v>
      </c>
      <c r="G46" s="50">
        <f t="shared" si="3"/>
        <v>0</v>
      </c>
      <c r="H46" s="50">
        <f>IF(A46&lt;=0,0,2*(A46-$A$49)*$J$25+$J$23)</f>
        <v>0</v>
      </c>
      <c r="I46" s="56">
        <f t="shared" si="4"/>
        <v>0</v>
      </c>
      <c r="J46" s="51">
        <f t="shared" si="5"/>
        <v>0</v>
      </c>
      <c r="K46" s="111">
        <f t="shared" si="6"/>
        <v>0</v>
      </c>
      <c r="L46" s="6"/>
      <c r="M46" s="334" t="s">
        <v>78</v>
      </c>
      <c r="N46" s="302"/>
      <c r="O46" s="210"/>
      <c r="P46" s="154"/>
      <c r="Q46" s="154"/>
      <c r="R46" s="8"/>
      <c r="S46" s="8"/>
    </row>
    <row r="47" spans="1:19" ht="20.100000000000001" customHeight="1">
      <c r="A47" s="268">
        <f>IF($B$29&lt;=0,0,($J$28/4+A48))</f>
        <v>0</v>
      </c>
      <c r="B47" s="51">
        <f>IF(A47&lt;=0,0,$B$49+(2*$J$23+2*(A47-$A$49)*$J$25)/2*(A47-$A$49))</f>
        <v>0</v>
      </c>
      <c r="C47" s="51">
        <f>IF(A47&lt;=0,0,2*SQRT(POWER((A47-$A$49),2)+POWER(((A47-$A$49)*$J$25),2))+$C$49)</f>
        <v>0</v>
      </c>
      <c r="D47" s="26">
        <f t="shared" si="0"/>
        <v>0</v>
      </c>
      <c r="E47" s="51">
        <f t="shared" si="1"/>
        <v>0</v>
      </c>
      <c r="F47" s="25">
        <f t="shared" si="2"/>
        <v>0</v>
      </c>
      <c r="G47" s="50">
        <f t="shared" si="3"/>
        <v>0</v>
      </c>
      <c r="H47" s="50">
        <f>IF(A47&lt;=0,0,2*(A47-$A$49)*$J$25+$J$23)</f>
        <v>0</v>
      </c>
      <c r="I47" s="56">
        <f t="shared" si="4"/>
        <v>0</v>
      </c>
      <c r="J47" s="51">
        <f t="shared" si="5"/>
        <v>0</v>
      </c>
      <c r="K47" s="111">
        <f t="shared" si="6"/>
        <v>0</v>
      </c>
      <c r="L47" s="6"/>
      <c r="M47" s="334"/>
      <c r="N47" s="302"/>
      <c r="O47" s="210"/>
      <c r="P47" s="154"/>
      <c r="Q47" s="154"/>
      <c r="R47" s="8"/>
      <c r="S47" s="8"/>
    </row>
    <row r="48" spans="1:19" ht="20.100000000000001" customHeight="1">
      <c r="A48" s="269">
        <f>IF($B$29&lt;=0,0,($J$28/4+A49))</f>
        <v>0</v>
      </c>
      <c r="B48" s="28">
        <f>IF(A48&lt;=0,0,$B$49+(2*$J$23+2*(A48-$A$49)*$J$25)/2*(A48-$A$49))</f>
        <v>0</v>
      </c>
      <c r="C48" s="28">
        <f>IF(A48&lt;=0,0,2*SQRT(POWER((A48-$A$49),2)+POWER(((A48-$A$49)*$J$25),2))+$C$49)</f>
        <v>0</v>
      </c>
      <c r="D48" s="28">
        <f t="shared" si="0"/>
        <v>0</v>
      </c>
      <c r="E48" s="28">
        <f t="shared" si="1"/>
        <v>0</v>
      </c>
      <c r="F48" s="27">
        <f t="shared" si="2"/>
        <v>0</v>
      </c>
      <c r="G48" s="55">
        <f t="shared" si="3"/>
        <v>0</v>
      </c>
      <c r="H48" s="55">
        <f>IF(A48&lt;=0,0,2*(A48-$A$49)*$J$25+$J$23)</f>
        <v>0</v>
      </c>
      <c r="I48" s="55">
        <f t="shared" si="4"/>
        <v>0</v>
      </c>
      <c r="J48" s="28">
        <f t="shared" si="5"/>
        <v>0</v>
      </c>
      <c r="K48" s="110">
        <f t="shared" si="6"/>
        <v>0</v>
      </c>
      <c r="L48" s="53"/>
      <c r="M48" s="6"/>
      <c r="N48" s="302"/>
      <c r="O48" s="210"/>
      <c r="P48" s="8"/>
      <c r="Q48" s="8"/>
      <c r="R48" s="8"/>
      <c r="S48" s="8"/>
    </row>
    <row r="49" spans="1:19" ht="20.100000000000001" customHeight="1">
      <c r="A49" s="203">
        <f>IF($B$29&lt;=0,0,$J$21/6+A50)</f>
        <v>0</v>
      </c>
      <c r="B49" s="118">
        <f>IF(A49&lt;=0,0,(2*$J$22+2*(($J$23-$J$22)/2/$J$21)*A49)/2*A49)</f>
        <v>0</v>
      </c>
      <c r="C49" s="119">
        <f t="shared" ref="C49:C54" si="10">IF(A49&lt;=0,0,2*SQRT(POWER(A49,2)+POWER((($J$23-$J$22)/2)/$J$21*A49,2))+$J$22)</f>
        <v>0</v>
      </c>
      <c r="D49" s="119">
        <f t="shared" si="0"/>
        <v>0</v>
      </c>
      <c r="E49" s="119">
        <f t="shared" si="1"/>
        <v>0</v>
      </c>
      <c r="F49" s="121">
        <f t="shared" si="2"/>
        <v>0</v>
      </c>
      <c r="G49" s="130">
        <f t="shared" si="3"/>
        <v>0</v>
      </c>
      <c r="H49" s="122">
        <f t="shared" ref="H49:H54" si="11">IF(A49&lt;=0,0,2*A49*(($J$23-$J$22)/2/$J$21)+$J$22)</f>
        <v>0</v>
      </c>
      <c r="I49" s="122">
        <f t="shared" si="4"/>
        <v>0</v>
      </c>
      <c r="J49" s="119">
        <f t="shared" si="5"/>
        <v>0</v>
      </c>
      <c r="K49" s="124">
        <f t="shared" si="6"/>
        <v>0</v>
      </c>
      <c r="L49" s="6"/>
      <c r="M49" s="336" t="s">
        <v>79</v>
      </c>
      <c r="N49" s="158"/>
      <c r="O49" s="210"/>
      <c r="P49" s="8"/>
      <c r="R49" s="8"/>
      <c r="S49" s="8"/>
    </row>
    <row r="50" spans="1:19" ht="20.100000000000001" customHeight="1">
      <c r="A50" s="202">
        <f>IF($B$29&lt;=0,0,$J$21/6+A51)</f>
        <v>0</v>
      </c>
      <c r="B50" s="118">
        <f>IF(A50&lt;=0,0,(2*$J$22+2*(($J$23-$J$22)/2/$J$21)*A50)/2*A50)</f>
        <v>0</v>
      </c>
      <c r="C50" s="118">
        <f>IF(A50&lt;=0,0,2*SQRT(POWER(A50,2)+POWER((($J$23-$J$22)/2)/$J$21*A50,2))+$J$22)</f>
        <v>0</v>
      </c>
      <c r="D50" s="118">
        <f t="shared" si="0"/>
        <v>0</v>
      </c>
      <c r="E50" s="118">
        <f t="shared" si="1"/>
        <v>0</v>
      </c>
      <c r="F50" s="125">
        <f t="shared" si="2"/>
        <v>0</v>
      </c>
      <c r="G50" s="123">
        <f t="shared" si="3"/>
        <v>0</v>
      </c>
      <c r="H50" s="122">
        <f t="shared" si="11"/>
        <v>0</v>
      </c>
      <c r="I50" s="122">
        <f t="shared" si="4"/>
        <v>0</v>
      </c>
      <c r="J50" s="118">
        <f t="shared" si="5"/>
        <v>0</v>
      </c>
      <c r="K50" s="141">
        <f t="shared" si="6"/>
        <v>0</v>
      </c>
      <c r="L50" s="6"/>
      <c r="M50" s="336"/>
      <c r="N50" s="302">
        <f>IF(B28&lt;=0,0,J21)</f>
        <v>0</v>
      </c>
      <c r="O50" s="210"/>
      <c r="P50" s="234"/>
      <c r="R50" s="8"/>
      <c r="S50" s="8"/>
    </row>
    <row r="51" spans="1:19" ht="20.100000000000001" customHeight="1">
      <c r="A51" s="202">
        <f>IF($B$29&lt;=0,0,$J$21/6+A52)</f>
        <v>0</v>
      </c>
      <c r="B51" s="118">
        <f>IF(A51&lt;=0,0,(2*$J$22+2*(($J$23-$J$22)/2/$J$21)*A51)/2*A51)</f>
        <v>0</v>
      </c>
      <c r="C51" s="118">
        <f t="shared" si="10"/>
        <v>0</v>
      </c>
      <c r="D51" s="118">
        <f>IF(ISERROR(B51/C51),0,B51/C51)</f>
        <v>0</v>
      </c>
      <c r="E51" s="118">
        <f>IF(ISERROR(IF(A51&lt;=0,0,-2*LOG(2.51*$B$9/(4*D51*SQRT(8*$B$8*D51*$B$6/1000))+$B$7/(1000*(14.84*D51)))*SQRT(8*$B$8*D51*$B$6/1000))),0,IF(A51&lt;=0,0,-2*LOG(2.51*$B$9/(4*D51*SQRT(8*$B$8*D51*$B$6/1000))+$B$7/(1000*(14.84*D51)))*SQRT(8*$B$8*D51*$B$6/1000)))</f>
        <v>0</v>
      </c>
      <c r="F51" s="125">
        <f>E51*B51</f>
        <v>0</v>
      </c>
      <c r="G51" s="123">
        <f t="shared" si="3"/>
        <v>0</v>
      </c>
      <c r="H51" s="122">
        <f t="shared" si="11"/>
        <v>0</v>
      </c>
      <c r="I51" s="122">
        <f>IF(A51&lt;=0,0,E51/SQRT($B$8*B51/H51))</f>
        <v>0</v>
      </c>
      <c r="J51" s="118">
        <f>A51+POWER(E51,2)/(2*$B$8)</f>
        <v>0</v>
      </c>
      <c r="K51" s="141">
        <f>9.81*$B$6*D51</f>
        <v>0</v>
      </c>
      <c r="L51" s="6"/>
      <c r="M51" s="336"/>
      <c r="N51" s="302"/>
      <c r="O51" s="210"/>
      <c r="P51" s="234"/>
      <c r="R51" s="8"/>
      <c r="S51" s="8"/>
    </row>
    <row r="52" spans="1:19" ht="20.100000000000001" customHeight="1">
      <c r="A52" s="202">
        <f>IF($B$29&lt;=0,0,$J$21/6+A53)</f>
        <v>0</v>
      </c>
      <c r="B52" s="118">
        <f>IF(A52&lt;=0,0,(2*$J$22+2*(($J$23-$J$22)/2/$J$21)*A52)/2*A52)</f>
        <v>0</v>
      </c>
      <c r="C52" s="118">
        <f>IF(A52&lt;=0,0,2*SQRT(POWER(A52,2)+POWER((($J$23-$J$22)/2)/$J$21*A52,2))+$J$22)</f>
        <v>0</v>
      </c>
      <c r="D52" s="118">
        <f t="shared" si="0"/>
        <v>0</v>
      </c>
      <c r="E52" s="118">
        <f t="shared" si="1"/>
        <v>0</v>
      </c>
      <c r="F52" s="125">
        <f t="shared" si="2"/>
        <v>0</v>
      </c>
      <c r="G52" s="123">
        <f t="shared" si="3"/>
        <v>0</v>
      </c>
      <c r="H52" s="122">
        <f t="shared" si="11"/>
        <v>0</v>
      </c>
      <c r="I52" s="122">
        <f t="shared" si="4"/>
        <v>0</v>
      </c>
      <c r="J52" s="118">
        <f t="shared" si="5"/>
        <v>0</v>
      </c>
      <c r="K52" s="141">
        <f t="shared" si="6"/>
        <v>0</v>
      </c>
      <c r="L52" s="6"/>
      <c r="M52" s="336"/>
      <c r="N52" s="302"/>
      <c r="O52" s="231"/>
      <c r="P52" s="234"/>
      <c r="R52" s="8"/>
      <c r="S52" s="8"/>
    </row>
    <row r="53" spans="1:19" ht="20.100000000000001" customHeight="1">
      <c r="A53" s="202">
        <f>IF($B$29&lt;=0,0,$J$21/6+A54)</f>
        <v>0</v>
      </c>
      <c r="B53" s="118">
        <f>IF(A53&lt;=0,0,(2*$J$22+2*($J$23-$J$22)/2/$J$21*A53)/2*A53)</f>
        <v>0</v>
      </c>
      <c r="C53" s="118">
        <f t="shared" si="10"/>
        <v>0</v>
      </c>
      <c r="D53" s="118">
        <f t="shared" si="0"/>
        <v>0</v>
      </c>
      <c r="E53" s="118">
        <f t="shared" si="1"/>
        <v>0</v>
      </c>
      <c r="F53" s="125">
        <f t="shared" si="2"/>
        <v>0</v>
      </c>
      <c r="G53" s="123">
        <f t="shared" si="3"/>
        <v>0</v>
      </c>
      <c r="H53" s="122">
        <f t="shared" si="11"/>
        <v>0</v>
      </c>
      <c r="I53" s="122">
        <f t="shared" si="4"/>
        <v>0</v>
      </c>
      <c r="J53" s="118">
        <f t="shared" si="5"/>
        <v>0</v>
      </c>
      <c r="K53" s="141">
        <f t="shared" si="6"/>
        <v>0</v>
      </c>
      <c r="L53" s="6"/>
      <c r="M53" s="336"/>
      <c r="N53" s="302"/>
      <c r="O53" s="210"/>
      <c r="P53" s="234"/>
      <c r="R53" s="8"/>
      <c r="S53" s="8"/>
    </row>
    <row r="54" spans="1:19" ht="20.100000000000001" customHeight="1">
      <c r="A54" s="266">
        <f>IF(B29&lt;=0,0,J21/6)</f>
        <v>0</v>
      </c>
      <c r="B54" s="126">
        <f>IF(A54&lt;=0,0,(2*$J$22+2*($J$23-$J$22)/2/$J$21*A54)/2*A54)</f>
        <v>0</v>
      </c>
      <c r="C54" s="126">
        <f t="shared" si="10"/>
        <v>0</v>
      </c>
      <c r="D54" s="126">
        <f t="shared" si="0"/>
        <v>0</v>
      </c>
      <c r="E54" s="126">
        <f t="shared" si="1"/>
        <v>0</v>
      </c>
      <c r="F54" s="127">
        <f t="shared" si="2"/>
        <v>0</v>
      </c>
      <c r="G54" s="128">
        <f t="shared" si="3"/>
        <v>0</v>
      </c>
      <c r="H54" s="128">
        <f t="shared" si="11"/>
        <v>0</v>
      </c>
      <c r="I54" s="128">
        <f t="shared" si="4"/>
        <v>0</v>
      </c>
      <c r="J54" s="126">
        <f t="shared" si="5"/>
        <v>0</v>
      </c>
      <c r="K54" s="131">
        <f t="shared" si="6"/>
        <v>0</v>
      </c>
      <c r="L54" s="46"/>
      <c r="M54" s="336"/>
      <c r="N54" s="158"/>
      <c r="O54" s="210"/>
      <c r="P54" s="234"/>
      <c r="R54" s="8"/>
      <c r="S54" s="8"/>
    </row>
    <row r="55" spans="1:19" ht="15" customHeight="1">
      <c r="A55" s="57"/>
      <c r="B55" s="58"/>
      <c r="C55" s="58"/>
      <c r="D55" s="58"/>
      <c r="E55" s="58"/>
      <c r="F55" s="58"/>
      <c r="G55" s="59"/>
      <c r="H55" s="59"/>
      <c r="I55" s="59"/>
      <c r="J55" s="58"/>
      <c r="K55" s="59">
        <f t="shared" si="6"/>
        <v>0</v>
      </c>
      <c r="L55" s="6"/>
      <c r="M55" s="6"/>
      <c r="N55" s="9"/>
      <c r="O55" s="210"/>
      <c r="P55" s="234"/>
      <c r="Q55" s="8"/>
      <c r="R55" s="8"/>
      <c r="S55" s="8"/>
    </row>
    <row r="56" spans="1:19" ht="20.100000000000001" customHeight="1">
      <c r="A56" s="114" t="s">
        <v>131</v>
      </c>
      <c r="B56" s="60"/>
      <c r="C56" s="60"/>
      <c r="D56" s="60"/>
      <c r="E56" s="60"/>
      <c r="F56" s="60"/>
      <c r="G56" s="11"/>
      <c r="H56" s="11"/>
      <c r="I56" s="59"/>
      <c r="J56" s="58"/>
      <c r="K56" s="59">
        <f t="shared" si="6"/>
        <v>0</v>
      </c>
      <c r="L56" s="6"/>
      <c r="M56" s="6"/>
      <c r="N56" s="9"/>
      <c r="O56" s="210"/>
      <c r="P56" s="234"/>
      <c r="Q56" s="8"/>
      <c r="R56" s="8"/>
      <c r="S56" s="8"/>
    </row>
    <row r="57" spans="1:19" ht="20.100000000000001" customHeight="1">
      <c r="A57" s="313" t="s">
        <v>73</v>
      </c>
      <c r="B57" s="314"/>
      <c r="C57" s="314"/>
      <c r="D57" s="60"/>
      <c r="E57" s="60"/>
      <c r="F57" s="60"/>
      <c r="G57" s="11"/>
      <c r="H57" s="11"/>
      <c r="I57" s="59"/>
      <c r="J57" s="58"/>
      <c r="K57" s="59"/>
      <c r="L57" s="6"/>
      <c r="M57" s="6"/>
      <c r="N57" s="9"/>
      <c r="O57" s="210"/>
      <c r="P57" s="8"/>
      <c r="Q57" s="8"/>
      <c r="R57" s="8"/>
      <c r="S57" s="8"/>
    </row>
    <row r="58" spans="1:19" ht="20.100000000000001" customHeight="1">
      <c r="A58" s="132"/>
      <c r="B58" s="81">
        <f>IF(AND(A58&gt;0,A58&lt;=$A$49),(2*$J$22+2*(($J$23-$J$22)/2/$J$21)*A58)/2*A58,IF(AND(A58&gt;$A$49,A58&lt;=$A$45),$B$49+(2*$J$23+2*(A58-$A$49)*$J$25)/2*(A58-$A$49),IF(AND(A58&gt;$A$45,A58&lt;=$A$39),$B$45+(A58-$A$45)*$B$28/1000,IF(AND(A58&gt;$A$39,A58&lt;=$A$36),$B$39+($B$28/1000+$B$28/1000-2*(A58-$A$39)*$J$19/$J$18)/2*(A58-$A$39),0))))</f>
        <v>0</v>
      </c>
      <c r="C58" s="81">
        <f>IF(A58&lt;=0,0,IF(AND(A58&gt;0,A58&lt;=$A$49),2*SQRT(POWER(A58,2)+POWER((($J$23-$J$22)/2)/$J$21*A58,2))+$J$22,IF(AND(A58&gt;$A$49,A58&lt;=$A$45),2*SQRT(POWER((A58-$A$49),2)+POWER(((A58-$A$49)*$J$25),2))+$C$49,IF(AND(A58&gt;$A$45,A58&lt;=$A$39),(A58-$A$45)*2+$C$45+IF(A58=$B$29/1000,$B$28/1000),IF(AND(A58&gt;$A$39,A58&lt;=$A$36),2*SQRT(POWER((A58-$A$39),2)+POWER((A58-$A$39)*$J$19/$J$18,2))+$C$39+IF(A58=$B$29/1000,$B$28/1000-2*$J$18,0))))))</f>
        <v>0</v>
      </c>
      <c r="D58" s="81">
        <f>IF(ISERROR(B58/C58),0,B58/C58)</f>
        <v>0</v>
      </c>
      <c r="E58" s="81">
        <f>IF(ISERROR(-2*LOG(2.51*$B$9/(4*D58*SQRT(8*$B$8*D58*$B$6/1000))+$B$7/(1000*(14.84*D58)))*SQRT(8*$B$8*D58*$B$6/1000)),0,-2*LOG(2.51*$B$9/(4*D58*SQRT(8*$B$8*D58*$B$6/1000))+$B$7/(1000*(14.84*D58)))*SQRT(8*$B$8*D58*$B$6/1000))</f>
        <v>0</v>
      </c>
      <c r="F58" s="82">
        <f>E58*B58</f>
        <v>0</v>
      </c>
      <c r="G58" s="83">
        <f>IF(ISERROR(F58/$F$31),0,F58/$F$31)</f>
        <v>0</v>
      </c>
      <c r="H58" s="83">
        <f>IF(A58&lt;=0,0,IF(AND(A58&gt;0,A58&lt;=$A$49),2*A58*(($J$23-$J$22)/2/$J$21)+$J$22,IF(AND(A58&gt;$A$49,A58&lt;=$A$45),2*(A58-$A$49)*$J$25+$J$23,IF(AND(A58&gt;$A$45,A58&lt;=$A$39),$B$28/1000,IF(AND(A58&gt;$A$39,A58&lt;=$A$36),$B$28/1000-2*(A58-$A$39)*$J$19/$J$18,0)))))</f>
        <v>0</v>
      </c>
      <c r="I58" s="83">
        <f>IF(A58&lt;=0,0,E58/SQRT($B$8*B58/H58))</f>
        <v>0</v>
      </c>
      <c r="J58" s="81">
        <f>IF(B58&lt;=0,0,A58+POWER(E58,2)/(2*$B$8))</f>
        <v>0</v>
      </c>
      <c r="K58" s="115">
        <f>9.81*$B$6*D58</f>
        <v>0</v>
      </c>
      <c r="L58" s="8"/>
      <c r="M58" s="6"/>
      <c r="N58" s="9"/>
      <c r="O58" s="210"/>
      <c r="P58" s="8"/>
      <c r="Q58" s="45"/>
      <c r="R58" s="8"/>
      <c r="S58" s="8"/>
    </row>
    <row r="59" spans="1:19" ht="20.100000000000001" customHeight="1">
      <c r="A59" s="343" t="s">
        <v>114</v>
      </c>
      <c r="B59" s="344"/>
      <c r="C59" s="344"/>
      <c r="D59" s="344"/>
      <c r="E59" s="344"/>
      <c r="F59" s="344"/>
      <c r="G59" s="59"/>
      <c r="H59" s="59"/>
      <c r="I59" s="59"/>
      <c r="J59" s="58"/>
      <c r="K59" s="59"/>
      <c r="L59" s="7"/>
      <c r="M59" s="6"/>
      <c r="N59" s="9"/>
      <c r="O59" s="8"/>
      <c r="P59" s="8"/>
      <c r="Q59" s="45"/>
      <c r="R59" s="8"/>
      <c r="S59" s="8"/>
    </row>
    <row r="60" spans="1:19" ht="20.100000000000001" customHeight="1">
      <c r="A60" s="132"/>
      <c r="B60" s="283">
        <f>IF(AND(A60&gt;0,A60&lt;=$A$49),(2*$J$22+2*(($J$23-$J$22)/2/$J$21)*A60)/2*A60,IF(AND(A60&gt;$A$49,A60&lt;=$A$45),$B$49+(2*$J$23+2*(A60-$A$49)*$J$25)/2*(A60-$A$49),IF(AND(A60&gt;$A$45,A60&lt;=$A$39),$B$45+(A60-$A$45)*$B$28/1000,IF(AND(A60&gt;$A$39,A60&lt;=$A$36),$B$39+($B$28/1000+$B$28/1000-2*(A60-$A$39)*$J$19/$J$18)/2*(A60-$A$39),0))))</f>
        <v>0</v>
      </c>
      <c r="C60" s="283">
        <f>IF(A60&lt;=0,0,IF(AND(A60&gt;0,A60&lt;=$A$49),2*SQRT(POWER(A60,2)+POWER((($J$23-$J$22)/2)/$J$21*A60,2))+$J$22,IF(AND(A60&gt;$A$49,A60&lt;=$A$45),2*SQRT(POWER((A60-$A$49),2)+POWER(((A60-$A$49)*$J$25),2))+$C$49,IF(AND(A60&gt;$A$45,A60&lt;=$A$39),(A60-$A$45)*2+$C$45+IF(A60=$B$29/1000,$B$28/1000),IF(AND(A60&gt;$A$39,A60&lt;=$A$36),2*SQRT(POWER((A60-$A$39),2)+POWER((A60-$A$39)*$J$19/$J$18,2))+$C$39+IF(A60=$B$29/1000,$B$28/1000-2*$J$18))))))</f>
        <v>0</v>
      </c>
      <c r="D60" s="283">
        <f>IF(ISERROR(B60/C60),0,B60/C60)</f>
        <v>0</v>
      </c>
      <c r="E60" s="283">
        <f>IF(ISERROR(-2*LOG(2.51*$B$9/(4*D60*SQRT(8*$B$8*D60*$B$6/1000))+$B$7/(1000*(14.84*D60)))*SQRT(8*$B$8*D60*$B$6/1000)),0,-2*LOG(2.51*$B$9/(4*D60*SQRT(8*$B$8*D60*$B$6/1000))+$B$7/(1000*(14.84*D60)))*SQRT(8*$B$8*D60*$B$6/1000))</f>
        <v>0</v>
      </c>
      <c r="F60" s="284">
        <f>E60*B60</f>
        <v>0</v>
      </c>
      <c r="G60" s="285">
        <f>IF(ISERROR(F60/$F$31),0,F60/$F$31)</f>
        <v>0</v>
      </c>
      <c r="H60" s="285">
        <f>IF(A60&lt;=0,0,IF(AND(A60&gt;0,A60&lt;=$A$49),2*A60*(($J$23-$J$22)/2/$J$21)+$J$22,IF(AND(A60&gt;$A$49,A60&lt;=$A$45),2*(A60-$A$49)*$J$25+$J$23,IF(AND(A60&gt;$A$45,A60&lt;=$A$39),$B$28/1000,IF(AND(A60&gt;$A$39,A60&lt;=$A$36),$B$28/1000-2*(A60-$A$39)*$J$19/$J$18,0)))))</f>
        <v>0</v>
      </c>
      <c r="I60" s="285">
        <f>IF(A60&lt;=0,0,E60/SQRT($B$8*B60/H60))</f>
        <v>0</v>
      </c>
      <c r="J60" s="284">
        <f>IF(B60&lt;=0,0,A60+POWER(E60,2)/(2*$B$8))</f>
        <v>0</v>
      </c>
      <c r="K60" s="286">
        <f>9.81*$B$6*D60</f>
        <v>0</v>
      </c>
      <c r="L60" s="8"/>
      <c r="M60" s="6"/>
      <c r="N60" s="9"/>
      <c r="O60" s="8"/>
      <c r="P60" s="8"/>
      <c r="Q60" s="16"/>
      <c r="R60" s="8"/>
      <c r="S60" s="8"/>
    </row>
    <row r="61" spans="1:19" ht="15" customHeight="1">
      <c r="A61" s="61"/>
      <c r="B61" s="60"/>
      <c r="C61" s="60"/>
      <c r="D61" s="60"/>
      <c r="E61" s="60"/>
      <c r="F61" s="60"/>
      <c r="G61" s="11"/>
      <c r="H61" s="11"/>
      <c r="I61" s="6"/>
      <c r="J61" s="6"/>
      <c r="K61" s="6"/>
      <c r="L61" s="6"/>
      <c r="M61" s="6"/>
      <c r="N61" s="9"/>
      <c r="O61" s="8"/>
      <c r="P61" s="8"/>
      <c r="Q61" s="8"/>
      <c r="R61" s="8"/>
      <c r="S61" s="8"/>
    </row>
    <row r="62" spans="1:19" ht="20.100000000000001" customHeight="1">
      <c r="A62" s="62" t="s">
        <v>50</v>
      </c>
      <c r="B62" s="52">
        <f>IF(J60&lt;J31,J60,0)</f>
        <v>0</v>
      </c>
      <c r="C62" s="16" t="s">
        <v>65</v>
      </c>
      <c r="D62" s="34" t="s">
        <v>51</v>
      </c>
      <c r="E62" s="52">
        <f>IF(J31&gt;J60,J31,0)</f>
        <v>0</v>
      </c>
      <c r="F62" s="6" t="s">
        <v>8</v>
      </c>
      <c r="G62" s="6"/>
      <c r="H62" s="6"/>
      <c r="I62" s="6"/>
      <c r="J62" s="6"/>
      <c r="K62" s="6"/>
      <c r="L62" s="6"/>
      <c r="M62" s="6"/>
      <c r="N62" s="9"/>
      <c r="O62" s="8"/>
      <c r="P62" s="8"/>
      <c r="Q62" s="8"/>
      <c r="R62" s="8"/>
      <c r="S62" s="8"/>
    </row>
    <row r="63" spans="1:19" ht="20.100000000000001" customHeight="1">
      <c r="A63" s="63"/>
      <c r="B63" s="6" t="s">
        <v>52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9"/>
      <c r="O63" s="8"/>
      <c r="P63" s="8"/>
      <c r="Q63" s="8"/>
      <c r="R63" s="8"/>
      <c r="S63" s="8"/>
    </row>
    <row r="64" spans="1:19" ht="15" customHeight="1">
      <c r="A64" s="6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9"/>
      <c r="O64" s="8"/>
      <c r="P64" s="8"/>
      <c r="Q64" s="8"/>
      <c r="R64" s="8"/>
      <c r="S64" s="8"/>
    </row>
    <row r="65" spans="1:20" ht="20.100000000000001" customHeight="1">
      <c r="A65" s="62" t="s">
        <v>50</v>
      </c>
      <c r="B65" s="52">
        <f>IF(J60&gt;=J31,J60,0)</f>
        <v>0</v>
      </c>
      <c r="C65" s="16" t="s">
        <v>66</v>
      </c>
      <c r="D65" s="34" t="s">
        <v>51</v>
      </c>
      <c r="E65" s="52">
        <f>IF(J31&lt;=J60,J31,0)</f>
        <v>0</v>
      </c>
      <c r="F65" s="6" t="s">
        <v>8</v>
      </c>
      <c r="G65" s="6"/>
      <c r="H65" s="6"/>
      <c r="I65" s="6"/>
      <c r="J65" s="6"/>
      <c r="K65" s="6"/>
      <c r="L65" s="6"/>
      <c r="M65" s="6"/>
      <c r="N65" s="9"/>
      <c r="O65" s="8"/>
      <c r="P65" s="8"/>
      <c r="Q65" s="8"/>
      <c r="R65" s="8"/>
      <c r="S65" s="8"/>
    </row>
    <row r="66" spans="1:20" ht="20.100000000000001" customHeight="1">
      <c r="A66" s="63"/>
      <c r="B66" s="6" t="s">
        <v>53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9"/>
      <c r="O66" s="8"/>
      <c r="P66" s="8"/>
      <c r="Q66" s="8"/>
      <c r="R66" s="8"/>
      <c r="S66" s="8"/>
    </row>
    <row r="67" spans="1:20" ht="12" customHeight="1" thickBot="1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  <c r="O67" s="8"/>
      <c r="P67" s="8"/>
      <c r="Q67" s="8"/>
      <c r="R67" s="8"/>
      <c r="S67" s="8"/>
    </row>
    <row r="68" spans="1:20" ht="12" customHeight="1">
      <c r="A68" s="149" t="s">
        <v>128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8"/>
      <c r="O68" s="8"/>
      <c r="P68" s="8"/>
      <c r="Q68" s="8"/>
      <c r="R68" s="8"/>
      <c r="S68" s="8"/>
      <c r="T68" s="8"/>
    </row>
    <row r="69" spans="1:20" ht="20.10000000000000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8"/>
      <c r="O69" s="8"/>
      <c r="P69" s="8"/>
      <c r="Q69" s="8"/>
      <c r="R69" s="8"/>
      <c r="S69" s="8"/>
      <c r="T69" s="8"/>
    </row>
    <row r="70" spans="1:2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8"/>
      <c r="O70" s="8"/>
      <c r="P70" s="8"/>
      <c r="Q70" s="8"/>
      <c r="R70" s="8"/>
      <c r="S70" s="8"/>
      <c r="T70" s="8"/>
    </row>
    <row r="71" spans="1:20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8"/>
      <c r="O71" s="8"/>
      <c r="P71" s="8"/>
      <c r="Q71" s="8"/>
      <c r="R71" s="8"/>
      <c r="S71" s="8"/>
      <c r="T71" s="8"/>
    </row>
    <row r="72" spans="1:20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8"/>
      <c r="O72" s="8"/>
      <c r="P72" s="8"/>
      <c r="Q72" s="8"/>
      <c r="R72" s="8"/>
      <c r="S72" s="8"/>
      <c r="T72" s="8"/>
    </row>
    <row r="73" spans="1:20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</row>
    <row r="74" spans="1:20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</row>
    <row r="75" spans="1:20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</row>
    <row r="76" spans="1:20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</row>
    <row r="77" spans="1:20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</row>
    <row r="78" spans="1:20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</row>
    <row r="79" spans="1:20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20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</row>
    <row r="81" spans="1:13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</row>
    <row r="82" spans="1:1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</row>
    <row r="83" spans="1:1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</row>
    <row r="84" spans="1:1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</row>
    <row r="85" spans="1:1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</row>
    <row r="86" spans="1:1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</row>
    <row r="87" spans="1:1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</row>
    <row r="88" spans="1:1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</row>
    <row r="89" spans="1:1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</row>
    <row r="90" spans="1:1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</row>
    <row r="91" spans="1:1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</row>
    <row r="93" spans="1:1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</row>
    <row r="94" spans="1:13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</row>
    <row r="95" spans="1:13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</row>
    <row r="97" spans="1:13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</row>
    <row r="98" spans="1:13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</row>
    <row r="99" spans="1:13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1:13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</row>
    <row r="102" spans="1:13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</row>
    <row r="103" spans="1:1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</row>
    <row r="105" spans="1:13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</row>
    <row r="106" spans="1:13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</row>
    <row r="107" spans="1:13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</row>
    <row r="108" spans="1:13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</row>
    <row r="109" spans="1:13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3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</row>
    <row r="111" spans="1:13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</row>
    <row r="112" spans="1:13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</row>
    <row r="113" spans="1:13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</row>
    <row r="114" spans="1:13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</row>
    <row r="115" spans="1:13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</row>
    <row r="116" spans="1:13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</row>
    <row r="117" spans="1:13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</row>
    <row r="118" spans="1:13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</row>
    <row r="119" spans="1:1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3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</row>
    <row r="121" spans="1:1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</row>
    <row r="122" spans="1:13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</row>
    <row r="123" spans="1:13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</row>
    <row r="124" spans="1:13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</row>
    <row r="125" spans="1:1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</row>
    <row r="126" spans="1:13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</row>
    <row r="127" spans="1:1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</row>
    <row r="128" spans="1:1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</row>
    <row r="129" spans="1:13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</row>
    <row r="130" spans="1:13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</row>
    <row r="131" spans="1:13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</row>
    <row r="132" spans="1:1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</row>
    <row r="133" spans="1:1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</row>
    <row r="134" spans="1:1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</row>
    <row r="135" spans="1:1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</row>
    <row r="136" spans="1:1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</row>
    <row r="137" spans="1:1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</row>
    <row r="138" spans="1:1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</row>
    <row r="139" spans="1:1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</row>
    <row r="140" spans="1:1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</row>
    <row r="141" spans="1:1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</row>
    <row r="142" spans="1:1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</row>
    <row r="143" spans="1:1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</row>
    <row r="145" spans="1:1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</row>
    <row r="146" spans="1:13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</row>
    <row r="147" spans="1:1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</row>
    <row r="149" spans="1:13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</row>
    <row r="150" spans="1:13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</row>
    <row r="151" spans="1:13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</row>
    <row r="158" spans="1:13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</row>
    <row r="159" spans="1:13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</row>
    <row r="160" spans="1:13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</row>
  </sheetData>
  <sheetProtection password="8FFE" sheet="1"/>
  <mergeCells count="26">
    <mergeCell ref="L27:M27"/>
    <mergeCell ref="L28:M28"/>
    <mergeCell ref="A59:F59"/>
    <mergeCell ref="A57:C57"/>
    <mergeCell ref="A27:B27"/>
    <mergeCell ref="I20:J20"/>
    <mergeCell ref="I16:K16"/>
    <mergeCell ref="I24:J24"/>
    <mergeCell ref="E27:F27"/>
    <mergeCell ref="A18:F18"/>
    <mergeCell ref="A1:A2"/>
    <mergeCell ref="B1:K1"/>
    <mergeCell ref="B2:K2"/>
    <mergeCell ref="I4:L4"/>
    <mergeCell ref="A4:C4"/>
    <mergeCell ref="L1:N2"/>
    <mergeCell ref="N50:N53"/>
    <mergeCell ref="M49:M54"/>
    <mergeCell ref="M36:M38"/>
    <mergeCell ref="L31:M31"/>
    <mergeCell ref="N36:N38"/>
    <mergeCell ref="M46:M47"/>
    <mergeCell ref="N45:N48"/>
    <mergeCell ref="N41:N42"/>
    <mergeCell ref="L34:M34"/>
    <mergeCell ref="M39:M44"/>
  </mergeCells>
  <phoneticPr fontId="0" type="noConversion"/>
  <printOptions horizontalCentered="1" verticalCentered="1"/>
  <pageMargins left="0.78740157480314965" right="0" top="0.19685039370078741" bottom="0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RPnormal</vt:lpstr>
      <vt:lpstr>RPKreissegment</vt:lpstr>
      <vt:lpstr>RPtrapez</vt:lpstr>
      <vt:lpstr>RPDreieck</vt:lpstr>
      <vt:lpstr>RPGerinne mit Auftritt</vt:lpstr>
      <vt:lpstr>RPDrachenprofil</vt:lpstr>
      <vt:lpstr>RPTrapezgerinne</vt:lpstr>
      <vt:lpstr>RPDrachenprofil!Druckbereich</vt:lpstr>
      <vt:lpstr>RPDreieck!Druckbereich</vt:lpstr>
      <vt:lpstr>'RPGerinne mit Auftritt'!Druckbereich</vt:lpstr>
      <vt:lpstr>RPKreissegment!Druckbereich</vt:lpstr>
      <vt:lpstr>RPnormal!Druckbereich</vt:lpstr>
      <vt:lpstr>RPtrapez!Druckbereich</vt:lpstr>
      <vt:lpstr>RPTrapezgerinne!Druckbereich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 Valtwies</dc:creator>
  <cp:lastModifiedBy>Schemionek, Stefan</cp:lastModifiedBy>
  <cp:lastPrinted>2016-03-22T07:22:17Z</cp:lastPrinted>
  <dcterms:created xsi:type="dcterms:W3CDTF">2005-05-24T14:06:29Z</dcterms:created>
  <dcterms:modified xsi:type="dcterms:W3CDTF">2024-07-15T09:35:50Z</dcterms:modified>
</cp:coreProperties>
</file>